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13_ncr:1_{1F1D7040-FB59-438B-9282-79EABD76E10D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DEMOGRAFIA " sheetId="1" r:id="rId1"/>
    <sheet name="MONOGRAFIA" sheetId="2" r:id="rId2"/>
    <sheet name="Sheet1" sheetId="4" r:id="rId3"/>
    <sheet name="Sheet3" sheetId="3" r:id="rId4"/>
  </sheets>
  <calcPr calcId="181029"/>
</workbook>
</file>

<file path=xl/calcChain.xml><?xml version="1.0" encoding="utf-8"?>
<calcChain xmlns="http://schemas.openxmlformats.org/spreadsheetml/2006/main">
  <c r="D16" i="2" l="1"/>
  <c r="D22" i="2" s="1"/>
  <c r="D23" i="2" s="1"/>
  <c r="E22" i="2"/>
  <c r="E16" i="2"/>
  <c r="C17" i="2"/>
  <c r="AF15" i="2"/>
  <c r="J22" i="1" l="1"/>
  <c r="L22" i="1"/>
  <c r="N22" i="1"/>
  <c r="P22" i="1"/>
  <c r="R22" i="1"/>
  <c r="T22" i="1"/>
  <c r="V22" i="1"/>
  <c r="X22" i="1"/>
  <c r="Z22" i="1"/>
  <c r="AB22" i="1"/>
  <c r="AD22" i="1"/>
  <c r="H22" i="1"/>
  <c r="C21" i="1"/>
  <c r="F22" i="1"/>
  <c r="D22" i="1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C22" i="2"/>
  <c r="AE16" i="2"/>
  <c r="AE22" i="2" s="1"/>
  <c r="AD16" i="2"/>
  <c r="AD22" i="2" s="1"/>
  <c r="AC16" i="2"/>
  <c r="AC22" i="2" s="1"/>
  <c r="AB16" i="2"/>
  <c r="AB22" i="2" s="1"/>
  <c r="AA16" i="2"/>
  <c r="AA22" i="2" s="1"/>
  <c r="Z16" i="2"/>
  <c r="Z22" i="2" s="1"/>
  <c r="Y16" i="2"/>
  <c r="Y22" i="2" s="1"/>
  <c r="X16" i="2"/>
  <c r="X22" i="2" s="1"/>
  <c r="W16" i="2"/>
  <c r="W22" i="2" s="1"/>
  <c r="V16" i="2"/>
  <c r="V22" i="2" s="1"/>
  <c r="U16" i="2"/>
  <c r="U22" i="2" s="1"/>
  <c r="T16" i="2"/>
  <c r="T22" i="2" s="1"/>
  <c r="S16" i="2"/>
  <c r="S22" i="2" s="1"/>
  <c r="R16" i="2"/>
  <c r="R22" i="2" s="1"/>
  <c r="Q16" i="2"/>
  <c r="Q22" i="2" s="1"/>
  <c r="P16" i="2"/>
  <c r="P22" i="2" s="1"/>
  <c r="O16" i="2"/>
  <c r="O22" i="2" s="1"/>
  <c r="N16" i="2"/>
  <c r="N22" i="2" s="1"/>
  <c r="M16" i="2"/>
  <c r="M22" i="2" s="1"/>
  <c r="L16" i="2"/>
  <c r="L22" i="2" s="1"/>
  <c r="K16" i="2"/>
  <c r="K22" i="2" s="1"/>
  <c r="J16" i="2"/>
  <c r="J22" i="2" s="1"/>
  <c r="I16" i="2"/>
  <c r="I22" i="2" s="1"/>
  <c r="H16" i="2"/>
  <c r="H22" i="2" s="1"/>
  <c r="G16" i="2"/>
  <c r="G22" i="2" s="1"/>
  <c r="F16" i="2"/>
  <c r="F22" i="2" s="1"/>
  <c r="F23" i="2" l="1"/>
  <c r="BK28" i="1"/>
  <c r="BC21" i="1"/>
  <c r="BB21" i="1"/>
  <c r="BA22" i="1" s="1"/>
  <c r="AZ21" i="1"/>
  <c r="AY21" i="1"/>
  <c r="AV21" i="1"/>
  <c r="AT21" i="1"/>
  <c r="AG21" i="1"/>
  <c r="AF21" i="1"/>
  <c r="BA16" i="1"/>
  <c r="AW16" i="1"/>
  <c r="AU16" i="1"/>
  <c r="AS16" i="1"/>
  <c r="AR16" i="1"/>
  <c r="AQ16" i="1"/>
  <c r="AP16" i="1"/>
  <c r="AN16" i="1"/>
  <c r="AM16" i="1"/>
  <c r="AL16" i="1"/>
  <c r="AK16" i="1"/>
  <c r="AJ16" i="1"/>
  <c r="AI16" i="1"/>
  <c r="AH16" i="1"/>
  <c r="AY15" i="1"/>
  <c r="AX15" i="1"/>
  <c r="AX21" i="1" s="1"/>
  <c r="AW15" i="1"/>
  <c r="AV15" i="1"/>
  <c r="AU15" i="1"/>
  <c r="AU21" i="1" s="1"/>
  <c r="AS15" i="1"/>
  <c r="AS21" i="1" s="1"/>
  <c r="AR15" i="1"/>
  <c r="AR21" i="1" s="1"/>
  <c r="AQ15" i="1"/>
  <c r="AQ21" i="1" s="1"/>
  <c r="AP15" i="1"/>
  <c r="AP21" i="1" s="1"/>
  <c r="AN15" i="1"/>
  <c r="AN21" i="1" s="1"/>
  <c r="AM15" i="1"/>
  <c r="AM21" i="1" s="1"/>
  <c r="AL15" i="1"/>
  <c r="AL21" i="1" s="1"/>
  <c r="AK15" i="1"/>
  <c r="AK21" i="1" s="1"/>
  <c r="AJ15" i="1"/>
  <c r="AJ21" i="1" s="1"/>
  <c r="AI15" i="1"/>
  <c r="AI21" i="1" s="1"/>
  <c r="AH15" i="1"/>
  <c r="AH21" i="1" s="1"/>
  <c r="AD21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C16" i="1"/>
  <c r="AE15" i="1"/>
  <c r="AD15" i="1"/>
  <c r="AC15" i="1"/>
  <c r="AB15" i="1"/>
  <c r="AB21" i="1" s="1"/>
  <c r="AA15" i="1"/>
  <c r="AA21" i="1" s="1"/>
  <c r="Z15" i="1"/>
  <c r="Z21" i="1" s="1"/>
  <c r="Y15" i="1"/>
  <c r="X15" i="1"/>
  <c r="X21" i="1" s="1"/>
  <c r="W15" i="1"/>
  <c r="W21" i="1" s="1"/>
  <c r="V15" i="1"/>
  <c r="V21" i="1" s="1"/>
  <c r="U15" i="1"/>
  <c r="U21" i="1" s="1"/>
  <c r="T15" i="1"/>
  <c r="T21" i="1" s="1"/>
  <c r="S15" i="1"/>
  <c r="S21" i="1" s="1"/>
  <c r="R15" i="1"/>
  <c r="R21" i="1" s="1"/>
  <c r="Q15" i="1"/>
  <c r="P15" i="1"/>
  <c r="O15" i="1"/>
  <c r="O21" i="1" s="1"/>
  <c r="N15" i="1"/>
  <c r="N21" i="1" s="1"/>
  <c r="M15" i="1"/>
  <c r="M21" i="1" s="1"/>
  <c r="L15" i="1"/>
  <c r="L21" i="1" s="1"/>
  <c r="K15" i="1"/>
  <c r="K21" i="1" s="1"/>
  <c r="J15" i="1"/>
  <c r="J21" i="1" s="1"/>
  <c r="I15" i="1"/>
  <c r="H15" i="1"/>
  <c r="H21" i="1" s="1"/>
  <c r="G15" i="1"/>
  <c r="G21" i="1" s="1"/>
  <c r="F15" i="1"/>
  <c r="F21" i="1" s="1"/>
  <c r="D15" i="1"/>
  <c r="D21" i="1" s="1"/>
  <c r="E15" i="1" l="1"/>
  <c r="E21" i="1" s="1"/>
  <c r="AE21" i="1"/>
  <c r="P21" i="1"/>
  <c r="I21" i="1"/>
  <c r="Q21" i="1"/>
  <c r="Y21" i="1"/>
  <c r="AW21" i="1"/>
  <c r="AP22" i="1"/>
  <c r="AC21" i="1"/>
  <c r="AF22" i="1"/>
  <c r="AF16" i="2" l="1"/>
  <c r="AF17" i="2"/>
  <c r="AF18" i="2"/>
  <c r="AF19" i="2"/>
  <c r="AF20" i="2"/>
  <c r="AF21" i="2"/>
  <c r="AF22" i="2" l="1"/>
</calcChain>
</file>

<file path=xl/sharedStrings.xml><?xml version="1.0" encoding="utf-8"?>
<sst xmlns="http://schemas.openxmlformats.org/spreadsheetml/2006/main" count="155" uniqueCount="67">
  <si>
    <t>NO</t>
  </si>
  <si>
    <t>POSTU</t>
  </si>
  <si>
    <t xml:space="preserve">TOTAL FAMILIA UMA KAIN </t>
  </si>
  <si>
    <t>ABITANTE</t>
  </si>
  <si>
    <t>HABITANTE TUIR IDADE</t>
  </si>
  <si>
    <t>H.LITERARIA</t>
  </si>
  <si>
    <t>PROFISAUN</t>
  </si>
  <si>
    <t>RELIGIAUN</t>
  </si>
  <si>
    <t>SEXU</t>
  </si>
  <si>
    <t>0-5</t>
  </si>
  <si>
    <t>6-10.</t>
  </si>
  <si>
    <t>11-15.</t>
  </si>
  <si>
    <t>16-20</t>
  </si>
  <si>
    <t>21-25</t>
  </si>
  <si>
    <t>26-30</t>
  </si>
  <si>
    <t>31-35</t>
  </si>
  <si>
    <t>36-40</t>
  </si>
  <si>
    <t>41-45</t>
  </si>
  <si>
    <t>46-50</t>
  </si>
  <si>
    <t>51-55</t>
  </si>
  <si>
    <t>56-60</t>
  </si>
  <si>
    <t>60+</t>
  </si>
  <si>
    <t>LE</t>
  </si>
  <si>
    <t>ELR</t>
  </si>
  <si>
    <t>INF</t>
  </si>
  <si>
    <t>EP</t>
  </si>
  <si>
    <t>EPS</t>
  </si>
  <si>
    <t>ES</t>
  </si>
  <si>
    <t>BCL</t>
  </si>
  <si>
    <t>LIC</t>
  </si>
  <si>
    <t>MES</t>
  </si>
  <si>
    <t>DR</t>
  </si>
  <si>
    <t>FP</t>
  </si>
  <si>
    <t>F-FDTL</t>
  </si>
  <si>
    <t>PNTL</t>
  </si>
  <si>
    <t>VTR</t>
  </si>
  <si>
    <t>AGR</t>
  </si>
  <si>
    <t>EMP</t>
  </si>
  <si>
    <t>NEG</t>
  </si>
  <si>
    <t>TRA</t>
  </si>
  <si>
    <t>SST</t>
  </si>
  <si>
    <t>K</t>
  </si>
  <si>
    <t>M</t>
  </si>
  <si>
    <t>P</t>
  </si>
  <si>
    <t>B</t>
  </si>
  <si>
    <t>H</t>
  </si>
  <si>
    <t>F</t>
  </si>
  <si>
    <t>NA</t>
  </si>
  <si>
    <t>IN</t>
  </si>
  <si>
    <t>FATULULIK</t>
  </si>
  <si>
    <t>FATUMEA</t>
  </si>
  <si>
    <t>FOHOREM</t>
  </si>
  <si>
    <t>MAUKATAR</t>
  </si>
  <si>
    <t>SUAI</t>
  </si>
  <si>
    <t>TILOMAR</t>
  </si>
  <si>
    <t>ZUMALAI</t>
  </si>
  <si>
    <t>TOTAL</t>
  </si>
  <si>
    <t>DADUS REKAPITULASAUN DEMOGRFIA</t>
  </si>
  <si>
    <t>MUNICIPIU COVALIMA</t>
  </si>
  <si>
    <t>PERIODO JANEIRU-MARSU 2025</t>
  </si>
  <si>
    <t>Prepara hosi</t>
  </si>
  <si>
    <t>Diretora sm. Apoio ONG e OC</t>
  </si>
  <si>
    <t>Maria De Jesus Pereira</t>
  </si>
  <si>
    <t>TOTAL HABITANTE</t>
  </si>
  <si>
    <t>PREPARA HOSI</t>
  </si>
  <si>
    <t>MARIA DE JESUS PEREIRA</t>
  </si>
  <si>
    <t>DIRETORA SM APOIO ONG E 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</si>
</sst>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[$-F400]h:mm:ss\ AM/PM"/>
    <numFmt numFmtId="165" formatCode="_-* #,##0_-;\-* #,##0_-;_-* &quot;-&quot;??_-;_-@_-"/>
  </numFmts>
  <fonts count="9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43" fontId="3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quotePrefix="1" applyFont="1"/>
    <xf numFmtId="0" fontId="4" fillId="0" borderId="0" xfId="0" applyFont="1"/>
    <xf numFmtId="0" fontId="1" fillId="0" borderId="1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1" fillId="0" borderId="4" xfId="0" applyFont="1" applyBorder="1" applyAlignment="1">
      <alignment vertical="center"/>
    </xf>
    <xf numFmtId="165" fontId="1" fillId="0" borderId="4" xfId="2" applyNumberFormat="1" applyFont="1" applyBorder="1" applyAlignment="1">
      <alignment horizontal="center" vertical="center"/>
    </xf>
    <xf numFmtId="165" fontId="1" fillId="0" borderId="9" xfId="2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65" fontId="8" fillId="0" borderId="7" xfId="2" applyNumberFormat="1" applyFont="1" applyBorder="1" applyAlignment="1">
      <alignment horizontal="center" vertical="center"/>
    </xf>
    <xf numFmtId="165" fontId="8" fillId="0" borderId="8" xfId="2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5" fontId="1" fillId="0" borderId="1" xfId="2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1" fillId="0" borderId="4" xfId="0" applyFont="1" applyBorder="1" applyAlignment="1">
      <alignment horizontal="center" vertical="center"/>
    </xf>
  </cellXfs>
  <cellStyles count="3">
    <cellStyle name="20% - Accent6" xfId="1" builtinId="50"/>
    <cellStyle name="Comma" xfId="2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400049</xdr:colOff>
      <xdr:row>1</xdr:row>
      <xdr:rowOff>57150</xdr:rowOff>
    </xdr:from>
    <xdr:to>
      <xdr:col>33</xdr:col>
      <xdr:colOff>257174</xdr:colOff>
      <xdr:row>5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4" y="247650"/>
          <a:ext cx="6886575" cy="7715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381000</xdr:colOff>
      <xdr:row>0</xdr:row>
      <xdr:rowOff>104775</xdr:rowOff>
    </xdr:from>
    <xdr:to>
      <xdr:col>27</xdr:col>
      <xdr:colOff>205316</xdr:colOff>
      <xdr:row>5</xdr:row>
      <xdr:rowOff>157693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04775"/>
          <a:ext cx="10339916" cy="100541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BU30"/>
  <sheetViews>
    <sheetView topLeftCell="A3" zoomScale="90" zoomScaleNormal="90" workbookViewId="0">
      <selection activeCell="G13" sqref="G13"/>
    </sheetView>
  </sheetViews>
  <sheetFormatPr defaultRowHeight="14.5" x14ac:dyDescent="0.35"/>
  <cols>
    <col min="1" max="1" width="4.1796875" bestFit="1" customWidth="1"/>
    <col min="2" max="2" width="12.453125" bestFit="1" customWidth="1"/>
    <col min="3" max="3" width="13.453125" customWidth="1"/>
    <col min="4" max="5" width="6.7265625" bestFit="1" customWidth="1"/>
    <col min="6" max="18" width="6.1796875" bestFit="1" customWidth="1"/>
    <col min="19" max="29" width="5.54296875" bestFit="1" customWidth="1"/>
    <col min="30" max="31" width="6.1796875" bestFit="1" customWidth="1"/>
    <col min="32" max="33" width="6.7265625" bestFit="1" customWidth="1"/>
    <col min="34" max="34" width="5.54296875" bestFit="1" customWidth="1"/>
    <col min="35" max="35" width="6.7265625" bestFit="1" customWidth="1"/>
    <col min="36" max="36" width="6" bestFit="1" customWidth="1"/>
    <col min="37" max="37" width="6.7265625" bestFit="1" customWidth="1"/>
    <col min="38" max="39" width="5.54296875" bestFit="1" customWidth="1"/>
    <col min="40" max="40" width="3.81640625" bestFit="1" customWidth="1"/>
    <col min="41" max="41" width="3.7265625" bestFit="1" customWidth="1"/>
    <col min="42" max="42" width="5.54296875" bestFit="1" customWidth="1"/>
    <col min="43" max="43" width="7.26953125" bestFit="1" customWidth="1"/>
    <col min="44" max="45" width="4.453125" bestFit="1" customWidth="1"/>
    <col min="46" max="46" width="6.7265625" bestFit="1" customWidth="1"/>
    <col min="47" max="47" width="4.453125" bestFit="1" customWidth="1"/>
    <col min="48" max="48" width="3.26953125" bestFit="1" customWidth="1"/>
    <col min="49" max="49" width="5.54296875" bestFit="1" customWidth="1"/>
    <col min="50" max="51" width="4.453125" bestFit="1" customWidth="1"/>
    <col min="52" max="53" width="6.7265625" bestFit="1" customWidth="1"/>
    <col min="54" max="55" width="3.26953125" bestFit="1" customWidth="1"/>
    <col min="56" max="56" width="2.26953125" bestFit="1" customWidth="1"/>
    <col min="57" max="57" width="2.453125" bestFit="1" customWidth="1"/>
    <col min="58" max="58" width="4.453125" bestFit="1" customWidth="1"/>
    <col min="62" max="62" width="12.453125" bestFit="1" customWidth="1"/>
    <col min="72" max="72" width="14" bestFit="1" customWidth="1"/>
  </cols>
  <sheetData>
    <row r="7" spans="1:73" ht="15.5" x14ac:dyDescent="0.35">
      <c r="A7" s="30" t="s">
        <v>57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</row>
    <row r="8" spans="1:73" ht="15.5" x14ac:dyDescent="0.35">
      <c r="A8" s="30" t="s">
        <v>58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</row>
    <row r="9" spans="1:73" ht="15.5" x14ac:dyDescent="0.35">
      <c r="A9" s="30" t="s">
        <v>59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</row>
    <row r="10" spans="1:73" ht="15" thickBot="1" x14ac:dyDescent="0.4"/>
    <row r="11" spans="1:73" ht="15.75" customHeight="1" thickTop="1" thickBot="1" x14ac:dyDescent="0.4">
      <c r="A11" s="32" t="s">
        <v>0</v>
      </c>
      <c r="B11" s="32" t="s">
        <v>1</v>
      </c>
      <c r="C11" s="35" t="s">
        <v>2</v>
      </c>
      <c r="D11" s="32" t="s">
        <v>3</v>
      </c>
      <c r="E11" s="32"/>
      <c r="F11" s="32" t="s">
        <v>4</v>
      </c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 t="s">
        <v>5</v>
      </c>
      <c r="AG11" s="32"/>
      <c r="AH11" s="32"/>
      <c r="AI11" s="32"/>
      <c r="AJ11" s="32"/>
      <c r="AK11" s="32"/>
      <c r="AL11" s="32"/>
      <c r="AM11" s="32"/>
      <c r="AN11" s="32"/>
      <c r="AO11" s="32"/>
      <c r="AP11" s="32" t="s">
        <v>6</v>
      </c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 t="s">
        <v>7</v>
      </c>
      <c r="BB11" s="32"/>
      <c r="BC11" s="32"/>
      <c r="BD11" s="32"/>
      <c r="BE11" s="32"/>
      <c r="BF11" s="32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</row>
    <row r="12" spans="1:73" ht="15.75" customHeight="1" thickTop="1" thickBot="1" x14ac:dyDescent="0.4">
      <c r="A12" s="32"/>
      <c r="B12" s="32"/>
      <c r="C12" s="35"/>
      <c r="D12" s="32" t="s">
        <v>8</v>
      </c>
      <c r="E12" s="32"/>
      <c r="F12" s="32" t="s">
        <v>9</v>
      </c>
      <c r="G12" s="32"/>
      <c r="H12" s="36" t="s">
        <v>10</v>
      </c>
      <c r="I12" s="36"/>
      <c r="J12" s="32" t="s">
        <v>11</v>
      </c>
      <c r="K12" s="32"/>
      <c r="L12" s="32" t="s">
        <v>12</v>
      </c>
      <c r="M12" s="32"/>
      <c r="N12" s="32" t="s">
        <v>13</v>
      </c>
      <c r="O12" s="32"/>
      <c r="P12" s="32" t="s">
        <v>14</v>
      </c>
      <c r="Q12" s="32"/>
      <c r="R12" s="32" t="s">
        <v>15</v>
      </c>
      <c r="S12" s="32"/>
      <c r="T12" s="32" t="s">
        <v>16</v>
      </c>
      <c r="U12" s="32"/>
      <c r="V12" s="32" t="s">
        <v>17</v>
      </c>
      <c r="W12" s="32"/>
      <c r="X12" s="32" t="s">
        <v>18</v>
      </c>
      <c r="Y12" s="32"/>
      <c r="Z12" s="32" t="s">
        <v>19</v>
      </c>
      <c r="AA12" s="32"/>
      <c r="AB12" s="32" t="s">
        <v>20</v>
      </c>
      <c r="AC12" s="32"/>
      <c r="AD12" s="32" t="s">
        <v>21</v>
      </c>
      <c r="AE12" s="32"/>
      <c r="AF12" s="32" t="s">
        <v>22</v>
      </c>
      <c r="AG12" s="32" t="s">
        <v>23</v>
      </c>
      <c r="AH12" s="32" t="s">
        <v>24</v>
      </c>
      <c r="AI12" s="32" t="s">
        <v>25</v>
      </c>
      <c r="AJ12" s="32" t="s">
        <v>26</v>
      </c>
      <c r="AK12" s="32" t="s">
        <v>27</v>
      </c>
      <c r="AL12" s="32" t="s">
        <v>28</v>
      </c>
      <c r="AM12" s="32" t="s">
        <v>29</v>
      </c>
      <c r="AN12" s="34" t="s">
        <v>30</v>
      </c>
      <c r="AO12" s="32" t="s">
        <v>31</v>
      </c>
      <c r="AP12" s="32" t="s">
        <v>32</v>
      </c>
      <c r="AQ12" s="35" t="s">
        <v>33</v>
      </c>
      <c r="AR12" s="34" t="s">
        <v>34</v>
      </c>
      <c r="AS12" s="34" t="s">
        <v>35</v>
      </c>
      <c r="AT12" s="32" t="s">
        <v>36</v>
      </c>
      <c r="AU12" s="32" t="s">
        <v>37</v>
      </c>
      <c r="AV12" s="32"/>
      <c r="AW12" s="32" t="s">
        <v>38</v>
      </c>
      <c r="AX12" s="32" t="s">
        <v>39</v>
      </c>
      <c r="AY12" s="32"/>
      <c r="AZ12" s="32" t="s">
        <v>40</v>
      </c>
      <c r="BA12" s="32" t="s">
        <v>41</v>
      </c>
      <c r="BB12" s="32" t="s">
        <v>42</v>
      </c>
      <c r="BC12" s="32" t="s">
        <v>43</v>
      </c>
      <c r="BD12" s="32" t="s">
        <v>44</v>
      </c>
      <c r="BE12" s="32" t="s">
        <v>45</v>
      </c>
      <c r="BF12" s="32" t="s">
        <v>40</v>
      </c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</row>
    <row r="13" spans="1:73" ht="16.5" thickTop="1" thickBot="1" x14ac:dyDescent="0.4">
      <c r="A13" s="32"/>
      <c r="B13" s="32"/>
      <c r="C13" s="35"/>
      <c r="D13" s="8" t="s">
        <v>42</v>
      </c>
      <c r="E13" s="8" t="s">
        <v>46</v>
      </c>
      <c r="F13" s="8" t="s">
        <v>42</v>
      </c>
      <c r="G13" s="8" t="s">
        <v>46</v>
      </c>
      <c r="H13" s="8" t="s">
        <v>42</v>
      </c>
      <c r="I13" s="8" t="s">
        <v>46</v>
      </c>
      <c r="J13" s="8" t="s">
        <v>42</v>
      </c>
      <c r="K13" s="8" t="s">
        <v>46</v>
      </c>
      <c r="L13" s="8" t="s">
        <v>42</v>
      </c>
      <c r="M13" s="8" t="s">
        <v>46</v>
      </c>
      <c r="N13" s="8" t="s">
        <v>42</v>
      </c>
      <c r="O13" s="8" t="s">
        <v>46</v>
      </c>
      <c r="P13" s="8" t="s">
        <v>42</v>
      </c>
      <c r="Q13" s="8" t="s">
        <v>46</v>
      </c>
      <c r="R13" s="8" t="s">
        <v>42</v>
      </c>
      <c r="S13" s="8" t="s">
        <v>46</v>
      </c>
      <c r="T13" s="8" t="s">
        <v>42</v>
      </c>
      <c r="U13" s="8" t="s">
        <v>46</v>
      </c>
      <c r="V13" s="8" t="s">
        <v>42</v>
      </c>
      <c r="W13" s="8" t="s">
        <v>46</v>
      </c>
      <c r="X13" s="8" t="s">
        <v>42</v>
      </c>
      <c r="Y13" s="8" t="s">
        <v>46</v>
      </c>
      <c r="Z13" s="8" t="s">
        <v>42</v>
      </c>
      <c r="AA13" s="8" t="s">
        <v>46</v>
      </c>
      <c r="AB13" s="8" t="s">
        <v>42</v>
      </c>
      <c r="AC13" s="8" t="s">
        <v>46</v>
      </c>
      <c r="AD13" s="8" t="s">
        <v>42</v>
      </c>
      <c r="AE13" s="8" t="s">
        <v>46</v>
      </c>
      <c r="AF13" s="32"/>
      <c r="AG13" s="32"/>
      <c r="AH13" s="32"/>
      <c r="AI13" s="32"/>
      <c r="AJ13" s="32"/>
      <c r="AK13" s="32"/>
      <c r="AL13" s="32"/>
      <c r="AM13" s="32"/>
      <c r="AN13" s="34"/>
      <c r="AO13" s="32"/>
      <c r="AP13" s="32"/>
      <c r="AQ13" s="35"/>
      <c r="AR13" s="34"/>
      <c r="AS13" s="34"/>
      <c r="AT13" s="32"/>
      <c r="AU13" s="8" t="s">
        <v>47</v>
      </c>
      <c r="AV13" s="8" t="s">
        <v>48</v>
      </c>
      <c r="AW13" s="32"/>
      <c r="AX13" s="8" t="s">
        <v>47</v>
      </c>
      <c r="AY13" s="8" t="s">
        <v>48</v>
      </c>
      <c r="AZ13" s="32"/>
      <c r="BA13" s="32"/>
      <c r="BB13" s="32"/>
      <c r="BC13" s="32"/>
      <c r="BD13" s="32"/>
      <c r="BE13" s="32"/>
      <c r="BF13" s="32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</row>
    <row r="14" spans="1:73" ht="16.5" thickTop="1" thickBot="1" x14ac:dyDescent="0.4">
      <c r="A14" s="9">
        <v>1</v>
      </c>
      <c r="B14" s="10" t="s">
        <v>49</v>
      </c>
      <c r="C14" s="9">
        <v>866</v>
      </c>
      <c r="D14" s="9">
        <v>1633</v>
      </c>
      <c r="E14" s="9">
        <v>1650</v>
      </c>
      <c r="F14" s="9">
        <v>193</v>
      </c>
      <c r="G14" s="9">
        <v>172</v>
      </c>
      <c r="H14" s="9">
        <v>207</v>
      </c>
      <c r="I14" s="9">
        <v>201</v>
      </c>
      <c r="J14" s="9">
        <v>132</v>
      </c>
      <c r="K14" s="9">
        <v>169</v>
      </c>
      <c r="L14" s="9">
        <v>170</v>
      </c>
      <c r="M14" s="9">
        <v>172</v>
      </c>
      <c r="N14" s="9">
        <v>175</v>
      </c>
      <c r="O14" s="9">
        <v>191</v>
      </c>
      <c r="P14" s="9">
        <v>182</v>
      </c>
      <c r="Q14" s="9">
        <v>169</v>
      </c>
      <c r="R14" s="9">
        <v>131</v>
      </c>
      <c r="S14" s="9">
        <v>118</v>
      </c>
      <c r="T14" s="9">
        <v>108</v>
      </c>
      <c r="U14" s="9">
        <v>94</v>
      </c>
      <c r="V14" s="9">
        <v>59</v>
      </c>
      <c r="W14" s="9">
        <v>58</v>
      </c>
      <c r="X14" s="9">
        <v>66</v>
      </c>
      <c r="Y14" s="9">
        <v>64</v>
      </c>
      <c r="Z14" s="9">
        <v>60</v>
      </c>
      <c r="AA14" s="9">
        <v>58</v>
      </c>
      <c r="AB14" s="9">
        <v>32</v>
      </c>
      <c r="AC14" s="9">
        <v>38</v>
      </c>
      <c r="AD14" s="9">
        <v>118</v>
      </c>
      <c r="AE14" s="11">
        <v>146</v>
      </c>
      <c r="AF14" s="12">
        <v>378</v>
      </c>
      <c r="AG14" s="12">
        <v>1363</v>
      </c>
      <c r="AH14" s="12">
        <v>81</v>
      </c>
      <c r="AI14" s="12">
        <v>436</v>
      </c>
      <c r="AJ14" s="12">
        <v>319</v>
      </c>
      <c r="AK14" s="12">
        <v>491</v>
      </c>
      <c r="AL14" s="12">
        <v>26</v>
      </c>
      <c r="AM14" s="12">
        <v>186</v>
      </c>
      <c r="AN14" s="12">
        <v>2</v>
      </c>
      <c r="AO14" s="12">
        <v>1</v>
      </c>
      <c r="AP14" s="12">
        <v>145</v>
      </c>
      <c r="AQ14" s="12">
        <v>4</v>
      </c>
      <c r="AR14" s="12">
        <v>6</v>
      </c>
      <c r="AS14" s="12">
        <v>29</v>
      </c>
      <c r="AT14" s="12">
        <v>964</v>
      </c>
      <c r="AU14" s="12">
        <v>0</v>
      </c>
      <c r="AV14" s="12">
        <v>0</v>
      </c>
      <c r="AW14" s="12">
        <v>54</v>
      </c>
      <c r="AX14" s="12">
        <v>3</v>
      </c>
      <c r="AY14" s="12">
        <v>10</v>
      </c>
      <c r="AZ14" s="12">
        <v>2068</v>
      </c>
      <c r="BA14" s="12">
        <v>3283</v>
      </c>
      <c r="BB14" s="12">
        <v>0</v>
      </c>
      <c r="BC14" s="12">
        <v>0</v>
      </c>
      <c r="BD14" s="12">
        <v>0</v>
      </c>
      <c r="BE14" s="12">
        <v>0</v>
      </c>
      <c r="BF14" s="12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</row>
    <row r="15" spans="1:73" ht="16.5" thickTop="1" thickBot="1" x14ac:dyDescent="0.4">
      <c r="A15" s="12">
        <v>2</v>
      </c>
      <c r="B15" s="13" t="s">
        <v>50</v>
      </c>
      <c r="C15" s="12">
        <v>1197</v>
      </c>
      <c r="D15" s="12">
        <f>SUMIF(F13:AE13,"M",F15:AE15)</f>
        <v>2358</v>
      </c>
      <c r="E15" s="12">
        <f>SUMIF(F13:AE13,"F",F15:AE15)</f>
        <v>2287</v>
      </c>
      <c r="F15" s="12">
        <f>149+47+69</f>
        <v>265</v>
      </c>
      <c r="G15" s="12">
        <f>61+38+159</f>
        <v>258</v>
      </c>
      <c r="H15" s="12">
        <f>126+66+68</f>
        <v>260</v>
      </c>
      <c r="I15" s="12">
        <f>72+48+125</f>
        <v>245</v>
      </c>
      <c r="J15" s="12">
        <f>112+55+61</f>
        <v>228</v>
      </c>
      <c r="K15" s="12">
        <f>54+53+126</f>
        <v>233</v>
      </c>
      <c r="L15" s="12">
        <f>145+57+62</f>
        <v>264</v>
      </c>
      <c r="M15" s="12">
        <f>60+60+139</f>
        <v>259</v>
      </c>
      <c r="N15" s="12">
        <f>151+70+84</f>
        <v>305</v>
      </c>
      <c r="O15" s="12">
        <f>62+64+139</f>
        <v>265</v>
      </c>
      <c r="P15" s="12">
        <f>153+77+39</f>
        <v>269</v>
      </c>
      <c r="Q15" s="12">
        <f>44+64+105</f>
        <v>213</v>
      </c>
      <c r="R15" s="12">
        <f>71+39+27</f>
        <v>137</v>
      </c>
      <c r="S15" s="12">
        <f>37+40+77</f>
        <v>154</v>
      </c>
      <c r="T15" s="12">
        <f>61+39+20</f>
        <v>120</v>
      </c>
      <c r="U15" s="12">
        <f>27+30+50</f>
        <v>107</v>
      </c>
      <c r="V15" s="12">
        <f>44+23+29</f>
        <v>96</v>
      </c>
      <c r="W15" s="12">
        <f>33+23+41</f>
        <v>97</v>
      </c>
      <c r="X15" s="12">
        <f>40+14+19</f>
        <v>73</v>
      </c>
      <c r="Y15" s="12">
        <f>15+22+45</f>
        <v>82</v>
      </c>
      <c r="Z15" s="12">
        <f>39+20+19</f>
        <v>78</v>
      </c>
      <c r="AA15" s="12">
        <f>10+17+33</f>
        <v>60</v>
      </c>
      <c r="AB15" s="12">
        <f>16+11+10</f>
        <v>37</v>
      </c>
      <c r="AC15" s="12">
        <f>7+14+13</f>
        <v>34</v>
      </c>
      <c r="AD15" s="12">
        <f>114+64+48</f>
        <v>226</v>
      </c>
      <c r="AE15" s="14">
        <f>48+89+143</f>
        <v>280</v>
      </c>
      <c r="AF15" s="12">
        <v>1216</v>
      </c>
      <c r="AG15" s="12">
        <v>724</v>
      </c>
      <c r="AH15" s="12">
        <f>69+19</f>
        <v>88</v>
      </c>
      <c r="AI15" s="12">
        <f>418+121+244</f>
        <v>783</v>
      </c>
      <c r="AJ15" s="12">
        <f>174+89+145</f>
        <v>408</v>
      </c>
      <c r="AK15" s="12">
        <f>668+269+226</f>
        <v>1163</v>
      </c>
      <c r="AL15" s="12">
        <f>32+17+3</f>
        <v>52</v>
      </c>
      <c r="AM15" s="12">
        <f>135+54+17</f>
        <v>206</v>
      </c>
      <c r="AN15" s="12">
        <f>4+1</f>
        <v>5</v>
      </c>
      <c r="AO15" s="12">
        <v>0</v>
      </c>
      <c r="AP15" s="12">
        <f>69+15+13</f>
        <v>97</v>
      </c>
      <c r="AQ15" s="12">
        <f>1+1</f>
        <v>2</v>
      </c>
      <c r="AR15" s="12">
        <f>3+2</f>
        <v>5</v>
      </c>
      <c r="AS15" s="12">
        <f>14+16+12</f>
        <v>42</v>
      </c>
      <c r="AT15" s="12">
        <v>2684</v>
      </c>
      <c r="AU15" s="12">
        <f>2+2</f>
        <v>4</v>
      </c>
      <c r="AV15" s="12">
        <f>0</f>
        <v>0</v>
      </c>
      <c r="AW15" s="12">
        <f>19+2+9</f>
        <v>30</v>
      </c>
      <c r="AX15" s="12">
        <f>18+60</f>
        <v>78</v>
      </c>
      <c r="AY15" s="12">
        <f>21+16</f>
        <v>37</v>
      </c>
      <c r="AZ15" s="12">
        <v>1666</v>
      </c>
      <c r="BA15" s="12">
        <v>4644</v>
      </c>
      <c r="BB15" s="12">
        <v>1</v>
      </c>
      <c r="BC15" s="12">
        <v>0</v>
      </c>
      <c r="BD15" s="12">
        <v>0</v>
      </c>
      <c r="BE15" s="12">
        <v>0</v>
      </c>
      <c r="BF15" s="12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</row>
    <row r="16" spans="1:73" ht="16.5" thickTop="1" thickBot="1" x14ac:dyDescent="0.4">
      <c r="A16" s="8">
        <v>3</v>
      </c>
      <c r="B16" s="15" t="s">
        <v>51</v>
      </c>
      <c r="C16" s="8">
        <f>463+310+417+450</f>
        <v>1640</v>
      </c>
      <c r="D16" s="8">
        <v>3063</v>
      </c>
      <c r="E16" s="8">
        <v>2989</v>
      </c>
      <c r="F16" s="8">
        <f>105+85+75+118</f>
        <v>383</v>
      </c>
      <c r="G16" s="8">
        <f>118+69+72+89</f>
        <v>348</v>
      </c>
      <c r="H16" s="8">
        <f>99+79+80+86</f>
        <v>344</v>
      </c>
      <c r="I16" s="8">
        <f>73+74+80+84</f>
        <v>311</v>
      </c>
      <c r="J16" s="8">
        <f>67+72+45+65</f>
        <v>249</v>
      </c>
      <c r="K16" s="8">
        <f>71+53+69+75</f>
        <v>268</v>
      </c>
      <c r="L16" s="8">
        <f>88+53+63+81</f>
        <v>285</v>
      </c>
      <c r="M16" s="8">
        <f>93+75+61+100</f>
        <v>329</v>
      </c>
      <c r="N16" s="8">
        <f>84+64+83+96</f>
        <v>327</v>
      </c>
      <c r="O16" s="8">
        <f>106+92+68+65</f>
        <v>331</v>
      </c>
      <c r="P16" s="8">
        <f>92+77+86+103</f>
        <v>358</v>
      </c>
      <c r="Q16" s="8">
        <f>119+77+72+74</f>
        <v>342</v>
      </c>
      <c r="R16" s="8">
        <f>58+41+52+45</f>
        <v>196</v>
      </c>
      <c r="S16" s="8">
        <f>46+47+21+48</f>
        <v>162</v>
      </c>
      <c r="T16" s="8">
        <f>47+27+43+43</f>
        <v>160</v>
      </c>
      <c r="U16" s="8">
        <f>32+47+24+48</f>
        <v>151</v>
      </c>
      <c r="V16" s="8">
        <f>51+11+54+29</f>
        <v>145</v>
      </c>
      <c r="W16" s="8">
        <f>29+25+19+50</f>
        <v>123</v>
      </c>
      <c r="X16" s="8">
        <f>30+18+25+37</f>
        <v>110</v>
      </c>
      <c r="Y16" s="8">
        <f>37+36+20+29</f>
        <v>122</v>
      </c>
      <c r="Z16" s="8">
        <f>42+28+32+42</f>
        <v>144</v>
      </c>
      <c r="AA16" s="8">
        <f>41+24+24+37</f>
        <v>126</v>
      </c>
      <c r="AB16" s="8">
        <f>18+14+45+26</f>
        <v>103</v>
      </c>
      <c r="AC16" s="8">
        <f>28+39+8+26</f>
        <v>101</v>
      </c>
      <c r="AD16" s="8">
        <f>68+64+43+84</f>
        <v>259</v>
      </c>
      <c r="AE16" s="16">
        <f>88+59+63+65</f>
        <v>275</v>
      </c>
      <c r="AF16" s="8">
        <v>1966</v>
      </c>
      <c r="AG16" s="8">
        <v>1116</v>
      </c>
      <c r="AH16" s="8">
        <f>11+55+10</f>
        <v>76</v>
      </c>
      <c r="AI16" s="8">
        <f>237+230+230+150</f>
        <v>847</v>
      </c>
      <c r="AJ16" s="8">
        <f>140+142+64+101</f>
        <v>447</v>
      </c>
      <c r="AK16" s="8">
        <f>359+102+326+179</f>
        <v>966</v>
      </c>
      <c r="AL16" s="8">
        <f>20+44+79+14</f>
        <v>157</v>
      </c>
      <c r="AM16" s="8">
        <f>210+77+61+119</f>
        <v>467</v>
      </c>
      <c r="AN16" s="8">
        <f>7+1+1</f>
        <v>9</v>
      </c>
      <c r="AO16" s="8">
        <v>1</v>
      </c>
      <c r="AP16" s="8">
        <f>41+39+69+84</f>
        <v>233</v>
      </c>
      <c r="AQ16" s="8">
        <f>3+11+3+8</f>
        <v>25</v>
      </c>
      <c r="AR16" s="8">
        <f>9+7+4</f>
        <v>20</v>
      </c>
      <c r="AS16" s="8">
        <f>19+65+13+20</f>
        <v>117</v>
      </c>
      <c r="AT16" s="8">
        <v>3512</v>
      </c>
      <c r="AU16" s="8">
        <f>2+8</f>
        <v>10</v>
      </c>
      <c r="AV16" s="8">
        <v>0</v>
      </c>
      <c r="AW16" s="8">
        <f>8+2</f>
        <v>10</v>
      </c>
      <c r="AX16" s="8">
        <v>0</v>
      </c>
      <c r="AY16" s="8">
        <v>16</v>
      </c>
      <c r="AZ16" s="8">
        <v>2109</v>
      </c>
      <c r="BA16" s="8">
        <f>1731+1494+1183+1644</f>
        <v>6052</v>
      </c>
      <c r="BB16" s="8">
        <v>0</v>
      </c>
      <c r="BC16" s="8">
        <v>0</v>
      </c>
      <c r="BD16" s="8">
        <v>0</v>
      </c>
      <c r="BE16" s="8">
        <v>0</v>
      </c>
      <c r="BF16" s="8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</row>
    <row r="17" spans="1:73" ht="16.5" thickTop="1" thickBot="1" x14ac:dyDescent="0.4">
      <c r="A17" s="12">
        <v>4</v>
      </c>
      <c r="B17" s="13" t="s">
        <v>52</v>
      </c>
      <c r="C17" s="17">
        <v>3322</v>
      </c>
      <c r="D17" s="17">
        <v>7009</v>
      </c>
      <c r="E17" s="17">
        <v>6646</v>
      </c>
      <c r="F17" s="17">
        <v>714</v>
      </c>
      <c r="G17" s="17">
        <v>686</v>
      </c>
      <c r="H17" s="17">
        <v>734</v>
      </c>
      <c r="I17" s="17">
        <v>768</v>
      </c>
      <c r="J17" s="17">
        <v>886</v>
      </c>
      <c r="K17" s="17">
        <v>705</v>
      </c>
      <c r="L17" s="17">
        <v>699</v>
      </c>
      <c r="M17" s="17">
        <v>634</v>
      </c>
      <c r="N17" s="17">
        <v>736</v>
      </c>
      <c r="O17" s="17">
        <v>714</v>
      </c>
      <c r="P17" s="17">
        <v>666</v>
      </c>
      <c r="Q17" s="17">
        <v>581</v>
      </c>
      <c r="R17" s="17">
        <v>566</v>
      </c>
      <c r="S17" s="17">
        <v>554</v>
      </c>
      <c r="T17" s="17">
        <v>429</v>
      </c>
      <c r="U17" s="17">
        <v>438</v>
      </c>
      <c r="V17" s="17">
        <v>349</v>
      </c>
      <c r="W17" s="17">
        <v>363</v>
      </c>
      <c r="X17" s="17">
        <v>268</v>
      </c>
      <c r="Y17" s="17">
        <v>270</v>
      </c>
      <c r="Z17" s="17">
        <v>284</v>
      </c>
      <c r="AA17" s="17">
        <v>232</v>
      </c>
      <c r="AB17" s="17">
        <v>217</v>
      </c>
      <c r="AC17" s="17">
        <v>199</v>
      </c>
      <c r="AD17" s="17">
        <v>461</v>
      </c>
      <c r="AE17" s="18">
        <v>502</v>
      </c>
      <c r="AF17" s="17">
        <v>6620</v>
      </c>
      <c r="AG17" s="17">
        <v>1128</v>
      </c>
      <c r="AH17" s="17">
        <v>183</v>
      </c>
      <c r="AI17" s="17">
        <v>1877</v>
      </c>
      <c r="AJ17" s="17">
        <v>1283</v>
      </c>
      <c r="AK17" s="17">
        <v>1701</v>
      </c>
      <c r="AL17" s="17">
        <v>170</v>
      </c>
      <c r="AM17" s="17">
        <v>682</v>
      </c>
      <c r="AN17" s="17">
        <v>11</v>
      </c>
      <c r="AO17" s="17">
        <v>0</v>
      </c>
      <c r="AP17" s="17">
        <v>395</v>
      </c>
      <c r="AQ17" s="17">
        <v>14</v>
      </c>
      <c r="AR17" s="17">
        <v>65</v>
      </c>
      <c r="AS17" s="17">
        <v>83</v>
      </c>
      <c r="AT17" s="17">
        <v>2723</v>
      </c>
      <c r="AU17" s="17">
        <v>33</v>
      </c>
      <c r="AV17" s="17">
        <v>0</v>
      </c>
      <c r="AW17" s="17">
        <v>114</v>
      </c>
      <c r="AX17" s="17">
        <v>212</v>
      </c>
      <c r="AY17" s="17">
        <v>68</v>
      </c>
      <c r="AZ17" s="17">
        <v>9948</v>
      </c>
      <c r="BA17" s="17">
        <v>13634</v>
      </c>
      <c r="BB17" s="17">
        <v>6</v>
      </c>
      <c r="BC17" s="17">
        <v>15</v>
      </c>
      <c r="BD17" s="17">
        <v>0</v>
      </c>
      <c r="BE17" s="17">
        <v>0</v>
      </c>
      <c r="BF17" s="17">
        <v>0</v>
      </c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</row>
    <row r="18" spans="1:73" ht="16.5" thickTop="1" thickBot="1" x14ac:dyDescent="0.4">
      <c r="A18" s="12">
        <v>5</v>
      </c>
      <c r="B18" s="13" t="s">
        <v>53</v>
      </c>
      <c r="C18" s="19">
        <v>6977</v>
      </c>
      <c r="D18" s="17">
        <v>14054</v>
      </c>
      <c r="E18" s="17">
        <v>13573</v>
      </c>
      <c r="F18" s="17">
        <v>1550</v>
      </c>
      <c r="G18" s="17">
        <v>1472</v>
      </c>
      <c r="H18" s="17">
        <v>1535</v>
      </c>
      <c r="I18" s="17">
        <v>1521</v>
      </c>
      <c r="J18" s="17">
        <v>1501</v>
      </c>
      <c r="K18" s="17">
        <v>1362</v>
      </c>
      <c r="L18" s="17">
        <v>1406</v>
      </c>
      <c r="M18" s="17">
        <v>1384</v>
      </c>
      <c r="N18" s="17">
        <v>1545</v>
      </c>
      <c r="O18" s="17">
        <v>1524</v>
      </c>
      <c r="P18" s="17">
        <v>1482</v>
      </c>
      <c r="Q18" s="17">
        <v>1305</v>
      </c>
      <c r="R18" s="17">
        <v>1021</v>
      </c>
      <c r="S18" s="17">
        <v>987</v>
      </c>
      <c r="T18" s="17">
        <v>809</v>
      </c>
      <c r="U18" s="17">
        <v>787</v>
      </c>
      <c r="V18" s="17">
        <v>657</v>
      </c>
      <c r="W18" s="17">
        <v>646</v>
      </c>
      <c r="X18" s="17">
        <v>521</v>
      </c>
      <c r="Y18" s="17">
        <v>534</v>
      </c>
      <c r="Z18" s="17">
        <v>569</v>
      </c>
      <c r="AA18" s="17">
        <v>475</v>
      </c>
      <c r="AB18" s="17">
        <v>389</v>
      </c>
      <c r="AC18" s="17">
        <v>374</v>
      </c>
      <c r="AD18" s="17">
        <v>1069</v>
      </c>
      <c r="AE18" s="18">
        <v>1202</v>
      </c>
      <c r="AF18" s="17">
        <v>10685</v>
      </c>
      <c r="AG18" s="17">
        <v>3302</v>
      </c>
      <c r="AH18" s="17">
        <v>434</v>
      </c>
      <c r="AI18" s="17">
        <v>4117</v>
      </c>
      <c r="AJ18" s="17">
        <v>2511</v>
      </c>
      <c r="AK18" s="17">
        <v>4601</v>
      </c>
      <c r="AL18" s="17">
        <v>403</v>
      </c>
      <c r="AM18" s="17">
        <v>1545</v>
      </c>
      <c r="AN18" s="17">
        <v>27</v>
      </c>
      <c r="AO18" s="17">
        <v>2</v>
      </c>
      <c r="AP18" s="17">
        <v>886</v>
      </c>
      <c r="AQ18" s="17">
        <v>45</v>
      </c>
      <c r="AR18" s="17">
        <v>97</v>
      </c>
      <c r="AS18" s="17">
        <v>271</v>
      </c>
      <c r="AT18" s="17">
        <v>10771</v>
      </c>
      <c r="AU18" s="17">
        <v>126</v>
      </c>
      <c r="AV18" s="17">
        <v>0</v>
      </c>
      <c r="AW18" s="17">
        <v>233</v>
      </c>
      <c r="AX18" s="17">
        <v>293</v>
      </c>
      <c r="AY18" s="17">
        <v>131</v>
      </c>
      <c r="AZ18" s="17">
        <v>14774</v>
      </c>
      <c r="BA18" s="17">
        <v>27605</v>
      </c>
      <c r="BB18" s="17">
        <v>7</v>
      </c>
      <c r="BC18" s="17">
        <v>15</v>
      </c>
      <c r="BD18" s="17">
        <v>0</v>
      </c>
      <c r="BE18" s="17">
        <v>0</v>
      </c>
      <c r="BF18" s="17">
        <v>0</v>
      </c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</row>
    <row r="19" spans="1:73" ht="16.5" thickTop="1" thickBot="1" x14ac:dyDescent="0.4">
      <c r="A19" s="8">
        <v>6</v>
      </c>
      <c r="B19" s="15" t="s">
        <v>54</v>
      </c>
      <c r="C19" s="8">
        <v>2880</v>
      </c>
      <c r="D19" s="8">
        <v>6088</v>
      </c>
      <c r="E19" s="8">
        <v>6607</v>
      </c>
      <c r="F19" s="8">
        <v>734</v>
      </c>
      <c r="G19" s="8">
        <v>699</v>
      </c>
      <c r="H19" s="8">
        <v>737</v>
      </c>
      <c r="I19" s="8">
        <v>1494</v>
      </c>
      <c r="J19" s="8">
        <v>611</v>
      </c>
      <c r="K19" s="8">
        <v>598</v>
      </c>
      <c r="L19" s="8">
        <v>643</v>
      </c>
      <c r="M19" s="8">
        <v>639</v>
      </c>
      <c r="N19" s="8">
        <v>619</v>
      </c>
      <c r="O19" s="8">
        <v>602</v>
      </c>
      <c r="P19" s="8">
        <v>550</v>
      </c>
      <c r="Q19" s="8">
        <v>521</v>
      </c>
      <c r="R19" s="8">
        <v>417</v>
      </c>
      <c r="S19" s="8">
        <v>391</v>
      </c>
      <c r="T19" s="8">
        <v>408</v>
      </c>
      <c r="U19" s="8">
        <v>338</v>
      </c>
      <c r="V19" s="8">
        <v>260</v>
      </c>
      <c r="W19" s="8">
        <v>261</v>
      </c>
      <c r="X19" s="8">
        <v>245</v>
      </c>
      <c r="Y19" s="8">
        <v>228</v>
      </c>
      <c r="Z19" s="8">
        <v>271</v>
      </c>
      <c r="AA19" s="8">
        <v>243</v>
      </c>
      <c r="AB19" s="8">
        <v>204</v>
      </c>
      <c r="AC19" s="8">
        <v>188</v>
      </c>
      <c r="AD19" s="8">
        <v>389</v>
      </c>
      <c r="AE19" s="16">
        <v>405</v>
      </c>
      <c r="AF19" s="8">
        <v>2277</v>
      </c>
      <c r="AG19" s="8">
        <v>4660</v>
      </c>
      <c r="AH19" s="8">
        <v>263</v>
      </c>
      <c r="AI19" s="8">
        <v>1575</v>
      </c>
      <c r="AJ19" s="8">
        <v>1121</v>
      </c>
      <c r="AK19" s="8">
        <v>2311</v>
      </c>
      <c r="AL19" s="8">
        <v>93</v>
      </c>
      <c r="AM19" s="8">
        <v>392</v>
      </c>
      <c r="AN19" s="8">
        <v>3</v>
      </c>
      <c r="AO19" s="8">
        <v>0</v>
      </c>
      <c r="AP19" s="8">
        <v>199</v>
      </c>
      <c r="AQ19" s="8">
        <v>17</v>
      </c>
      <c r="AR19" s="8">
        <v>39</v>
      </c>
      <c r="AS19" s="8">
        <v>67</v>
      </c>
      <c r="AT19" s="8">
        <v>6267</v>
      </c>
      <c r="AU19" s="8">
        <v>3</v>
      </c>
      <c r="AV19" s="8">
        <v>0</v>
      </c>
      <c r="AW19" s="8">
        <v>123</v>
      </c>
      <c r="AX19" s="8">
        <v>30</v>
      </c>
      <c r="AY19" s="8">
        <v>131</v>
      </c>
      <c r="AZ19" s="8">
        <v>5819</v>
      </c>
      <c r="BA19" s="8">
        <v>12642</v>
      </c>
      <c r="BB19" s="8">
        <v>3</v>
      </c>
      <c r="BC19" s="8">
        <v>50</v>
      </c>
      <c r="BD19" s="8">
        <v>0</v>
      </c>
      <c r="BE19" s="8">
        <v>0</v>
      </c>
      <c r="BF19" s="8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</row>
    <row r="20" spans="1:73" ht="16.5" thickTop="1" thickBot="1" x14ac:dyDescent="0.4">
      <c r="A20" s="12">
        <v>7</v>
      </c>
      <c r="B20" s="13" t="s">
        <v>55</v>
      </c>
      <c r="C20" s="12">
        <v>4640</v>
      </c>
      <c r="D20" s="12">
        <v>10284</v>
      </c>
      <c r="E20" s="12">
        <v>10357</v>
      </c>
      <c r="F20" s="12">
        <v>1235</v>
      </c>
      <c r="G20" s="12">
        <v>1201</v>
      </c>
      <c r="H20" s="12">
        <v>1133</v>
      </c>
      <c r="I20" s="12">
        <v>1087</v>
      </c>
      <c r="J20" s="12">
        <v>1036</v>
      </c>
      <c r="K20" s="12">
        <v>1019</v>
      </c>
      <c r="L20" s="12">
        <v>922</v>
      </c>
      <c r="M20" s="12">
        <v>1006</v>
      </c>
      <c r="N20" s="12">
        <v>993</v>
      </c>
      <c r="O20" s="12">
        <v>1020</v>
      </c>
      <c r="P20" s="12">
        <v>919</v>
      </c>
      <c r="Q20" s="12">
        <v>928</v>
      </c>
      <c r="R20" s="12">
        <v>755</v>
      </c>
      <c r="S20" s="12">
        <v>746</v>
      </c>
      <c r="T20" s="12">
        <v>668</v>
      </c>
      <c r="U20" s="12">
        <v>656</v>
      </c>
      <c r="V20" s="12">
        <v>594</v>
      </c>
      <c r="W20" s="12">
        <v>584</v>
      </c>
      <c r="X20" s="12">
        <v>475</v>
      </c>
      <c r="Y20" s="12">
        <v>486</v>
      </c>
      <c r="Z20" s="12">
        <v>419</v>
      </c>
      <c r="AA20" s="12">
        <v>446</v>
      </c>
      <c r="AB20" s="12">
        <v>444</v>
      </c>
      <c r="AC20" s="12">
        <v>430</v>
      </c>
      <c r="AD20" s="12">
        <v>691</v>
      </c>
      <c r="AE20" s="14">
        <v>748</v>
      </c>
      <c r="AF20" s="12">
        <v>3606</v>
      </c>
      <c r="AG20" s="12">
        <v>9497</v>
      </c>
      <c r="AH20" s="12">
        <v>475</v>
      </c>
      <c r="AI20" s="12">
        <v>2139</v>
      </c>
      <c r="AJ20" s="12">
        <v>1944</v>
      </c>
      <c r="AK20" s="12">
        <v>2367</v>
      </c>
      <c r="AL20" s="12">
        <v>114</v>
      </c>
      <c r="AM20" s="12">
        <v>488</v>
      </c>
      <c r="AN20" s="12">
        <v>5</v>
      </c>
      <c r="AO20" s="12">
        <v>6</v>
      </c>
      <c r="AP20" s="12">
        <v>282</v>
      </c>
      <c r="AQ20" s="12">
        <v>24</v>
      </c>
      <c r="AR20" s="12">
        <v>63</v>
      </c>
      <c r="AS20" s="12">
        <v>197</v>
      </c>
      <c r="AT20" s="12">
        <v>6402</v>
      </c>
      <c r="AU20" s="12">
        <v>15</v>
      </c>
      <c r="AV20" s="12">
        <v>0</v>
      </c>
      <c r="AW20" s="12">
        <v>276</v>
      </c>
      <c r="AX20" s="12">
        <v>208</v>
      </c>
      <c r="AY20" s="12">
        <v>111</v>
      </c>
      <c r="AZ20" s="12">
        <v>13063</v>
      </c>
      <c r="BA20" s="12">
        <v>20640</v>
      </c>
      <c r="BB20" s="12">
        <v>1</v>
      </c>
      <c r="BC20" s="12">
        <v>0</v>
      </c>
      <c r="BD20" s="12">
        <v>0</v>
      </c>
      <c r="BE20" s="12">
        <v>0</v>
      </c>
      <c r="BF20" s="12">
        <v>0</v>
      </c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</row>
    <row r="21" spans="1:73" ht="16.5" thickTop="1" thickBot="1" x14ac:dyDescent="0.4">
      <c r="A21" s="32" t="s">
        <v>56</v>
      </c>
      <c r="B21" s="32"/>
      <c r="C21" s="26">
        <f>SUM(C14:C20)</f>
        <v>21522</v>
      </c>
      <c r="D21" s="8">
        <f>SUM(D14:D20)</f>
        <v>44489</v>
      </c>
      <c r="E21" s="8">
        <f>SUM(E14:E20)</f>
        <v>44109</v>
      </c>
      <c r="F21" s="8">
        <f t="shared" ref="F21:AE21" si="0">SUM(F14:F20)</f>
        <v>5074</v>
      </c>
      <c r="G21" s="8">
        <f t="shared" si="0"/>
        <v>4836</v>
      </c>
      <c r="H21" s="8">
        <f t="shared" si="0"/>
        <v>4950</v>
      </c>
      <c r="I21" s="8">
        <f t="shared" si="0"/>
        <v>5627</v>
      </c>
      <c r="J21" s="8">
        <f t="shared" si="0"/>
        <v>4643</v>
      </c>
      <c r="K21" s="8">
        <f t="shared" si="0"/>
        <v>4354</v>
      </c>
      <c r="L21" s="8">
        <f t="shared" si="0"/>
        <v>4389</v>
      </c>
      <c r="M21" s="8">
        <f t="shared" si="0"/>
        <v>4423</v>
      </c>
      <c r="N21" s="8">
        <f t="shared" si="0"/>
        <v>4700</v>
      </c>
      <c r="O21" s="8">
        <f t="shared" si="0"/>
        <v>4647</v>
      </c>
      <c r="P21" s="8">
        <f t="shared" si="0"/>
        <v>4426</v>
      </c>
      <c r="Q21" s="8">
        <f t="shared" si="0"/>
        <v>4059</v>
      </c>
      <c r="R21" s="8">
        <f t="shared" si="0"/>
        <v>3223</v>
      </c>
      <c r="S21" s="8">
        <f t="shared" si="0"/>
        <v>3112</v>
      </c>
      <c r="T21" s="8">
        <f t="shared" si="0"/>
        <v>2702</v>
      </c>
      <c r="U21" s="8">
        <f t="shared" si="0"/>
        <v>2571</v>
      </c>
      <c r="V21" s="8">
        <f t="shared" si="0"/>
        <v>2160</v>
      </c>
      <c r="W21" s="8">
        <f t="shared" si="0"/>
        <v>2132</v>
      </c>
      <c r="X21" s="8">
        <f t="shared" si="0"/>
        <v>1758</v>
      </c>
      <c r="Y21" s="8">
        <f t="shared" si="0"/>
        <v>1786</v>
      </c>
      <c r="Z21" s="8">
        <f t="shared" si="0"/>
        <v>1825</v>
      </c>
      <c r="AA21" s="8">
        <f t="shared" si="0"/>
        <v>1640</v>
      </c>
      <c r="AB21" s="8">
        <f t="shared" si="0"/>
        <v>1426</v>
      </c>
      <c r="AC21" s="8">
        <f t="shared" si="0"/>
        <v>1364</v>
      </c>
      <c r="AD21" s="8">
        <f t="shared" si="0"/>
        <v>3213</v>
      </c>
      <c r="AE21" s="16">
        <f t="shared" si="0"/>
        <v>3558</v>
      </c>
      <c r="AF21" s="8">
        <f>SUM(AF14:AF20)</f>
        <v>26748</v>
      </c>
      <c r="AG21" s="8">
        <f t="shared" ref="AG21:AN21" si="1">SUM(AG14:AG20)</f>
        <v>21790</v>
      </c>
      <c r="AH21" s="8">
        <f t="shared" si="1"/>
        <v>1600</v>
      </c>
      <c r="AI21" s="8">
        <f t="shared" si="1"/>
        <v>11774</v>
      </c>
      <c r="AJ21" s="8">
        <f t="shared" si="1"/>
        <v>8033</v>
      </c>
      <c r="AK21" s="8">
        <f t="shared" si="1"/>
        <v>13600</v>
      </c>
      <c r="AL21" s="8">
        <f t="shared" si="1"/>
        <v>1015</v>
      </c>
      <c r="AM21" s="8">
        <f t="shared" si="1"/>
        <v>3966</v>
      </c>
      <c r="AN21" s="8">
        <f t="shared" si="1"/>
        <v>62</v>
      </c>
      <c r="AO21" s="8">
        <v>10</v>
      </c>
      <c r="AP21" s="8">
        <f t="shared" ref="AP21:AZ21" si="2">SUM(AP14:AP20)</f>
        <v>2237</v>
      </c>
      <c r="AQ21" s="8">
        <f t="shared" si="2"/>
        <v>131</v>
      </c>
      <c r="AR21" s="8">
        <f t="shared" si="2"/>
        <v>295</v>
      </c>
      <c r="AS21" s="8">
        <f t="shared" si="2"/>
        <v>806</v>
      </c>
      <c r="AT21" s="8">
        <f t="shared" si="2"/>
        <v>33323</v>
      </c>
      <c r="AU21" s="8">
        <f t="shared" si="2"/>
        <v>191</v>
      </c>
      <c r="AV21" s="8">
        <f t="shared" si="2"/>
        <v>0</v>
      </c>
      <c r="AW21" s="8">
        <f t="shared" si="2"/>
        <v>840</v>
      </c>
      <c r="AX21" s="8">
        <f t="shared" si="2"/>
        <v>824</v>
      </c>
      <c r="AY21" s="8">
        <f t="shared" si="2"/>
        <v>504</v>
      </c>
      <c r="AZ21" s="8">
        <f t="shared" si="2"/>
        <v>49447</v>
      </c>
      <c r="BA21" s="8">
        <v>88500</v>
      </c>
      <c r="BB21" s="8">
        <f>SUM(BB14:BB20)</f>
        <v>18</v>
      </c>
      <c r="BC21" s="8">
        <f>SUM(BC14:BC20)</f>
        <v>80</v>
      </c>
      <c r="BD21" s="8"/>
      <c r="BE21" s="8">
        <v>0</v>
      </c>
      <c r="BF21" s="8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</row>
    <row r="22" spans="1:73" ht="22" thickTop="1" thickBot="1" x14ac:dyDescent="0.4">
      <c r="A22" s="32"/>
      <c r="B22" s="32"/>
      <c r="C22" s="27"/>
      <c r="D22" s="33">
        <f>D21+E21</f>
        <v>88598</v>
      </c>
      <c r="E22" s="33"/>
      <c r="F22" s="28">
        <f>F21+G21</f>
        <v>9910</v>
      </c>
      <c r="G22" s="29"/>
      <c r="H22" s="24">
        <f>H21+I21</f>
        <v>10577</v>
      </c>
      <c r="I22" s="25"/>
      <c r="J22" s="24">
        <f t="shared" ref="J22" si="3">J21+K21</f>
        <v>8997</v>
      </c>
      <c r="K22" s="25"/>
      <c r="L22" s="24">
        <f t="shared" ref="L22" si="4">L21+M21</f>
        <v>8812</v>
      </c>
      <c r="M22" s="25"/>
      <c r="N22" s="24">
        <f t="shared" ref="N22" si="5">N21+O21</f>
        <v>9347</v>
      </c>
      <c r="O22" s="25"/>
      <c r="P22" s="24">
        <f t="shared" ref="P22" si="6">P21+Q21</f>
        <v>8485</v>
      </c>
      <c r="Q22" s="25"/>
      <c r="R22" s="24">
        <f t="shared" ref="R22" si="7">R21+S21</f>
        <v>6335</v>
      </c>
      <c r="S22" s="25"/>
      <c r="T22" s="24">
        <f t="shared" ref="T22" si="8">T21+U21</f>
        <v>5273</v>
      </c>
      <c r="U22" s="25"/>
      <c r="V22" s="24">
        <f t="shared" ref="V22" si="9">V21+W21</f>
        <v>4292</v>
      </c>
      <c r="W22" s="25"/>
      <c r="X22" s="24">
        <f t="shared" ref="X22" si="10">X21+Y21</f>
        <v>3544</v>
      </c>
      <c r="Y22" s="25"/>
      <c r="Z22" s="24">
        <f t="shared" ref="Z22" si="11">Z21+AA21</f>
        <v>3465</v>
      </c>
      <c r="AA22" s="25"/>
      <c r="AB22" s="24">
        <f t="shared" ref="AB22" si="12">AB21+AC21</f>
        <v>2790</v>
      </c>
      <c r="AC22" s="25"/>
      <c r="AD22" s="24">
        <f t="shared" ref="AD22" si="13">AD21+AE21</f>
        <v>6771</v>
      </c>
      <c r="AE22" s="25"/>
      <c r="AF22" s="32">
        <f>SUM(AF21:AO21)</f>
        <v>88598</v>
      </c>
      <c r="AG22" s="32"/>
      <c r="AH22" s="32"/>
      <c r="AI22" s="32"/>
      <c r="AJ22" s="32"/>
      <c r="AK22" s="32"/>
      <c r="AL22" s="32"/>
      <c r="AM22" s="32"/>
      <c r="AN22" s="32"/>
      <c r="AO22" s="32"/>
      <c r="AP22" s="32">
        <f>SUM(AP21:AZ21)</f>
        <v>88598</v>
      </c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>
        <f>SUM(BA21:BF21)</f>
        <v>88598</v>
      </c>
      <c r="BB22" s="32"/>
      <c r="BC22" s="32"/>
      <c r="BD22" s="32"/>
      <c r="BE22" s="32"/>
      <c r="BF22" s="32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</row>
    <row r="23" spans="1:73" ht="15.75" customHeight="1" thickTop="1" x14ac:dyDescent="0.35"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</row>
    <row r="25" spans="1:73" s="2" customFormat="1" ht="15" customHeight="1" x14ac:dyDescent="0.35">
      <c r="A25" s="30" t="s">
        <v>60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</row>
    <row r="26" spans="1:73" s="2" customFormat="1" ht="15" customHeight="1" x14ac:dyDescent="0.35">
      <c r="C26" s="5"/>
      <c r="D26" s="5"/>
      <c r="E26" s="5"/>
      <c r="F26" s="4"/>
      <c r="G26" s="4"/>
      <c r="AI26" s="4"/>
      <c r="AJ26" s="6"/>
      <c r="AK26" s="6"/>
      <c r="AL26" s="6"/>
      <c r="AM26" s="6"/>
      <c r="AN26" s="6"/>
      <c r="AO26" s="6"/>
      <c r="AP26" s="6"/>
      <c r="AQ26" s="4"/>
    </row>
    <row r="27" spans="1:73" s="2" customFormat="1" ht="15" customHeight="1" x14ac:dyDescent="0.35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"/>
      <c r="BH27" s="3"/>
      <c r="BI27" s="3"/>
      <c r="BJ27" s="3"/>
    </row>
    <row r="28" spans="1:73" s="2" customFormat="1" ht="15" customHeight="1" x14ac:dyDescent="0.35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K28" s="2">
        <f>BI17+BJ17</f>
        <v>0</v>
      </c>
    </row>
    <row r="29" spans="1:73" s="2" customFormat="1" ht="15" customHeight="1" x14ac:dyDescent="0.35">
      <c r="A29" s="30" t="s">
        <v>62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</row>
    <row r="30" spans="1:73" s="2" customFormat="1" ht="15" customHeight="1" x14ac:dyDescent="0.35">
      <c r="A30" s="30" t="s">
        <v>61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</row>
  </sheetData>
  <mergeCells count="73">
    <mergeCell ref="A11:A13"/>
    <mergeCell ref="B11:B13"/>
    <mergeCell ref="C11:C13"/>
    <mergeCell ref="D11:E11"/>
    <mergeCell ref="F11:AE11"/>
    <mergeCell ref="T12:U12"/>
    <mergeCell ref="V12:W12"/>
    <mergeCell ref="X12:Y12"/>
    <mergeCell ref="Z12:AA12"/>
    <mergeCell ref="N12:O12"/>
    <mergeCell ref="P12:Q12"/>
    <mergeCell ref="R12:S12"/>
    <mergeCell ref="D12:E12"/>
    <mergeCell ref="F12:G12"/>
    <mergeCell ref="H12:I12"/>
    <mergeCell ref="J12:K12"/>
    <mergeCell ref="AF11:AO11"/>
    <mergeCell ref="AB12:AC12"/>
    <mergeCell ref="AD12:AE12"/>
    <mergeCell ref="AF12:AF13"/>
    <mergeCell ref="AG12:AG13"/>
    <mergeCell ref="AH12:AH13"/>
    <mergeCell ref="L12:M12"/>
    <mergeCell ref="AI12:AI13"/>
    <mergeCell ref="AU12:AV12"/>
    <mergeCell ref="AJ12:AJ13"/>
    <mergeCell ref="AK12:AK13"/>
    <mergeCell ref="AL12:AL13"/>
    <mergeCell ref="AM12:AM13"/>
    <mergeCell ref="AN12:AN13"/>
    <mergeCell ref="AO12:AO13"/>
    <mergeCell ref="AP12:AP13"/>
    <mergeCell ref="AQ12:AQ13"/>
    <mergeCell ref="AR12:AR13"/>
    <mergeCell ref="AS12:AS13"/>
    <mergeCell ref="AT12:AT13"/>
    <mergeCell ref="AP11:AZ11"/>
    <mergeCell ref="BA11:BF11"/>
    <mergeCell ref="AW12:AW13"/>
    <mergeCell ref="AX12:AY12"/>
    <mergeCell ref="AZ12:AZ13"/>
    <mergeCell ref="BA12:BA13"/>
    <mergeCell ref="BB12:BB13"/>
    <mergeCell ref="A30:BF30"/>
    <mergeCell ref="A25:BF25"/>
    <mergeCell ref="A29:BF29"/>
    <mergeCell ref="A7:BF7"/>
    <mergeCell ref="A8:BF8"/>
    <mergeCell ref="A9:BF9"/>
    <mergeCell ref="A27:BF28"/>
    <mergeCell ref="BD12:BD13"/>
    <mergeCell ref="BE12:BE13"/>
    <mergeCell ref="BF12:BF13"/>
    <mergeCell ref="A21:B22"/>
    <mergeCell ref="D22:E22"/>
    <mergeCell ref="AF22:AO22"/>
    <mergeCell ref="AP22:AZ22"/>
    <mergeCell ref="BA22:BF22"/>
    <mergeCell ref="BC12:BC13"/>
    <mergeCell ref="C21:C22"/>
    <mergeCell ref="F22:G22"/>
    <mergeCell ref="H22:I22"/>
    <mergeCell ref="J22:K22"/>
    <mergeCell ref="L22:M22"/>
    <mergeCell ref="X22:Y22"/>
    <mergeCell ref="Z22:AA22"/>
    <mergeCell ref="AB22:AC22"/>
    <mergeCell ref="AD22:AE22"/>
    <mergeCell ref="N22:O22"/>
    <mergeCell ref="P22:Q22"/>
    <mergeCell ref="R22:S22"/>
    <mergeCell ref="T22:U22"/>
    <mergeCell ref="V22:W22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:BF31"/>
  <sheetViews>
    <sheetView topLeftCell="A8" workbookViewId="0">
      <selection activeCell="J19" sqref="J19"/>
    </sheetView>
  </sheetViews>
  <sheetFormatPr defaultColWidth="6.54296875" defaultRowHeight="14.5" x14ac:dyDescent="0.35"/>
  <cols>
    <col min="2" max="2" width="14.453125" customWidth="1"/>
    <col min="3" max="3" width="10.54296875" customWidth="1"/>
    <col min="32" max="32" width="11.7265625" customWidth="1"/>
  </cols>
  <sheetData>
    <row r="7" spans="1:58" ht="15.5" x14ac:dyDescent="0.35">
      <c r="A7" s="30" t="s">
        <v>57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</row>
    <row r="8" spans="1:58" ht="15.5" x14ac:dyDescent="0.35">
      <c r="A8" s="30" t="s">
        <v>58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</row>
    <row r="9" spans="1:58" ht="15.5" x14ac:dyDescent="0.35">
      <c r="A9" s="30" t="s">
        <v>59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</row>
    <row r="11" spans="1:58" ht="15" thickBot="1" x14ac:dyDescent="0.4"/>
    <row r="12" spans="1:58" ht="15.75" customHeight="1" thickTop="1" thickBot="1" x14ac:dyDescent="0.4">
      <c r="A12" s="32" t="s">
        <v>0</v>
      </c>
      <c r="B12" s="32" t="s">
        <v>1</v>
      </c>
      <c r="C12" s="35" t="s">
        <v>2</v>
      </c>
      <c r="D12" s="32" t="s">
        <v>3</v>
      </c>
      <c r="E12" s="32"/>
      <c r="F12" s="32" t="s">
        <v>4</v>
      </c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41"/>
      <c r="AF12" s="40" t="s">
        <v>63</v>
      </c>
    </row>
    <row r="13" spans="1:58" ht="16.5" thickTop="1" thickBot="1" x14ac:dyDescent="0.4">
      <c r="A13" s="32"/>
      <c r="B13" s="32"/>
      <c r="C13" s="35"/>
      <c r="D13" s="32" t="s">
        <v>8</v>
      </c>
      <c r="E13" s="32"/>
      <c r="F13" s="32" t="s">
        <v>9</v>
      </c>
      <c r="G13" s="32"/>
      <c r="H13" s="36" t="s">
        <v>10</v>
      </c>
      <c r="I13" s="36"/>
      <c r="J13" s="32" t="s">
        <v>11</v>
      </c>
      <c r="K13" s="32"/>
      <c r="L13" s="32" t="s">
        <v>12</v>
      </c>
      <c r="M13" s="32"/>
      <c r="N13" s="32" t="s">
        <v>13</v>
      </c>
      <c r="O13" s="32"/>
      <c r="P13" s="32" t="s">
        <v>14</v>
      </c>
      <c r="Q13" s="32"/>
      <c r="R13" s="32" t="s">
        <v>15</v>
      </c>
      <c r="S13" s="32"/>
      <c r="T13" s="32" t="s">
        <v>16</v>
      </c>
      <c r="U13" s="32"/>
      <c r="V13" s="32" t="s">
        <v>17</v>
      </c>
      <c r="W13" s="32"/>
      <c r="X13" s="32" t="s">
        <v>18</v>
      </c>
      <c r="Y13" s="32"/>
      <c r="Z13" s="32" t="s">
        <v>19</v>
      </c>
      <c r="AA13" s="32"/>
      <c r="AB13" s="32" t="s">
        <v>20</v>
      </c>
      <c r="AC13" s="32"/>
      <c r="AD13" s="32" t="s">
        <v>21</v>
      </c>
      <c r="AE13" s="41"/>
      <c r="AF13" s="40"/>
    </row>
    <row r="14" spans="1:58" ht="16.5" thickTop="1" thickBot="1" x14ac:dyDescent="0.4">
      <c r="A14" s="32"/>
      <c r="B14" s="32"/>
      <c r="C14" s="35"/>
      <c r="D14" s="8" t="s">
        <v>42</v>
      </c>
      <c r="E14" s="8" t="s">
        <v>46</v>
      </c>
      <c r="F14" s="8" t="s">
        <v>42</v>
      </c>
      <c r="G14" s="8" t="s">
        <v>46</v>
      </c>
      <c r="H14" s="8" t="s">
        <v>42</v>
      </c>
      <c r="I14" s="8" t="s">
        <v>46</v>
      </c>
      <c r="J14" s="8" t="s">
        <v>42</v>
      </c>
      <c r="K14" s="8" t="s">
        <v>46</v>
      </c>
      <c r="L14" s="8" t="s">
        <v>42</v>
      </c>
      <c r="M14" s="8" t="s">
        <v>46</v>
      </c>
      <c r="N14" s="8" t="s">
        <v>42</v>
      </c>
      <c r="O14" s="8" t="s">
        <v>46</v>
      </c>
      <c r="P14" s="8" t="s">
        <v>42</v>
      </c>
      <c r="Q14" s="8" t="s">
        <v>46</v>
      </c>
      <c r="R14" s="8" t="s">
        <v>42</v>
      </c>
      <c r="S14" s="8" t="s">
        <v>46</v>
      </c>
      <c r="T14" s="8" t="s">
        <v>42</v>
      </c>
      <c r="U14" s="8" t="s">
        <v>46</v>
      </c>
      <c r="V14" s="8" t="s">
        <v>42</v>
      </c>
      <c r="W14" s="8" t="s">
        <v>46</v>
      </c>
      <c r="X14" s="8" t="s">
        <v>42</v>
      </c>
      <c r="Y14" s="8" t="s">
        <v>46</v>
      </c>
      <c r="Z14" s="8" t="s">
        <v>42</v>
      </c>
      <c r="AA14" s="8" t="s">
        <v>46</v>
      </c>
      <c r="AB14" s="8" t="s">
        <v>42</v>
      </c>
      <c r="AC14" s="8" t="s">
        <v>46</v>
      </c>
      <c r="AD14" s="8" t="s">
        <v>42</v>
      </c>
      <c r="AE14" s="16" t="s">
        <v>46</v>
      </c>
      <c r="AF14" s="40"/>
    </row>
    <row r="15" spans="1:58" ht="16.5" thickTop="1" thickBot="1" x14ac:dyDescent="0.4">
      <c r="A15" s="9">
        <v>1</v>
      </c>
      <c r="B15" s="10" t="s">
        <v>49</v>
      </c>
      <c r="C15" s="9">
        <v>866</v>
      </c>
      <c r="D15" s="9">
        <v>1633</v>
      </c>
      <c r="E15" s="9">
        <v>1650</v>
      </c>
      <c r="F15" s="9">
        <v>193</v>
      </c>
      <c r="G15" s="9">
        <v>172</v>
      </c>
      <c r="H15" s="9">
        <v>207</v>
      </c>
      <c r="I15" s="9">
        <v>201</v>
      </c>
      <c r="J15" s="9">
        <v>132</v>
      </c>
      <c r="K15" s="9">
        <v>169</v>
      </c>
      <c r="L15" s="9">
        <v>170</v>
      </c>
      <c r="M15" s="9">
        <v>172</v>
      </c>
      <c r="N15" s="9">
        <v>175</v>
      </c>
      <c r="O15" s="9">
        <v>191</v>
      </c>
      <c r="P15" s="9">
        <v>182</v>
      </c>
      <c r="Q15" s="9">
        <v>169</v>
      </c>
      <c r="R15" s="9">
        <v>131</v>
      </c>
      <c r="S15" s="9">
        <v>118</v>
      </c>
      <c r="T15" s="9">
        <v>108</v>
      </c>
      <c r="U15" s="9">
        <v>94</v>
      </c>
      <c r="V15" s="9">
        <v>59</v>
      </c>
      <c r="W15" s="9">
        <v>58</v>
      </c>
      <c r="X15" s="9">
        <v>66</v>
      </c>
      <c r="Y15" s="9">
        <v>64</v>
      </c>
      <c r="Z15" s="9">
        <v>60</v>
      </c>
      <c r="AA15" s="9">
        <v>58</v>
      </c>
      <c r="AB15" s="9">
        <v>32</v>
      </c>
      <c r="AC15" s="9">
        <v>38</v>
      </c>
      <c r="AD15" s="9">
        <v>118</v>
      </c>
      <c r="AE15" s="11">
        <v>146</v>
      </c>
      <c r="AF15" s="21">
        <f>SUM(F15:AE15)</f>
        <v>3283</v>
      </c>
    </row>
    <row r="16" spans="1:58" ht="16.5" thickTop="1" thickBot="1" x14ac:dyDescent="0.4">
      <c r="A16" s="12">
        <v>2</v>
      </c>
      <c r="B16" s="13" t="s">
        <v>50</v>
      </c>
      <c r="C16" s="12">
        <v>1197</v>
      </c>
      <c r="D16" s="12">
        <f>SUMIF(F14:AE14,"M",F16:AE16)</f>
        <v>2358</v>
      </c>
      <c r="E16" s="12">
        <f>SUMIF(F14:AE14,"F",F16:AE16)</f>
        <v>2287</v>
      </c>
      <c r="F16" s="12">
        <f>149+47+69</f>
        <v>265</v>
      </c>
      <c r="G16" s="12">
        <f>61+38+159</f>
        <v>258</v>
      </c>
      <c r="H16" s="12">
        <f>126+66+68</f>
        <v>260</v>
      </c>
      <c r="I16" s="12">
        <f>72+48+125</f>
        <v>245</v>
      </c>
      <c r="J16" s="12">
        <f>112+55+61</f>
        <v>228</v>
      </c>
      <c r="K16" s="12">
        <f>54+53+126</f>
        <v>233</v>
      </c>
      <c r="L16" s="12">
        <f>145+57+62</f>
        <v>264</v>
      </c>
      <c r="M16" s="12">
        <f>60+60+139</f>
        <v>259</v>
      </c>
      <c r="N16" s="12">
        <f>151+70+84</f>
        <v>305</v>
      </c>
      <c r="O16" s="12">
        <f>62+64+139</f>
        <v>265</v>
      </c>
      <c r="P16" s="12">
        <f>153+77+39</f>
        <v>269</v>
      </c>
      <c r="Q16" s="12">
        <f>44+64+105</f>
        <v>213</v>
      </c>
      <c r="R16" s="12">
        <f>71+39+27</f>
        <v>137</v>
      </c>
      <c r="S16" s="12">
        <f>37+40+77</f>
        <v>154</v>
      </c>
      <c r="T16" s="12">
        <f>61+39+20</f>
        <v>120</v>
      </c>
      <c r="U16" s="12">
        <f>27+30+50</f>
        <v>107</v>
      </c>
      <c r="V16" s="12">
        <f>44+23+29</f>
        <v>96</v>
      </c>
      <c r="W16" s="12">
        <f>33+23+41</f>
        <v>97</v>
      </c>
      <c r="X16" s="12">
        <f>40+14+19</f>
        <v>73</v>
      </c>
      <c r="Y16" s="12">
        <f>15+22+45</f>
        <v>82</v>
      </c>
      <c r="Z16" s="12">
        <f>39+20+19</f>
        <v>78</v>
      </c>
      <c r="AA16" s="12">
        <f>10+17+33</f>
        <v>60</v>
      </c>
      <c r="AB16" s="12">
        <f>16+11+10</f>
        <v>37</v>
      </c>
      <c r="AC16" s="12">
        <f>7+14+13</f>
        <v>34</v>
      </c>
      <c r="AD16" s="12">
        <f>114+64+48</f>
        <v>226</v>
      </c>
      <c r="AE16" s="14">
        <f>48+89+143</f>
        <v>280</v>
      </c>
      <c r="AF16" s="21">
        <f t="shared" ref="AF16:AF21" si="0">SUM(F16:AE16)</f>
        <v>4645</v>
      </c>
    </row>
    <row r="17" spans="1:32" ht="16.5" thickTop="1" thickBot="1" x14ac:dyDescent="0.4">
      <c r="A17" s="8">
        <v>3</v>
      </c>
      <c r="B17" s="15" t="s">
        <v>51</v>
      </c>
      <c r="C17" s="8">
        <f>463+310+417+450</f>
        <v>1640</v>
      </c>
      <c r="D17" s="8">
        <v>3063</v>
      </c>
      <c r="E17" s="8">
        <v>2989</v>
      </c>
      <c r="F17" s="8">
        <f>105+85+75+118</f>
        <v>383</v>
      </c>
      <c r="G17" s="8">
        <f>118+69+72+89</f>
        <v>348</v>
      </c>
      <c r="H17" s="8">
        <f>99+79+80+86</f>
        <v>344</v>
      </c>
      <c r="I17" s="8">
        <f>73+74+80+84</f>
        <v>311</v>
      </c>
      <c r="J17" s="8">
        <f>67+72+45+65</f>
        <v>249</v>
      </c>
      <c r="K17" s="8">
        <f>71+53+69+75</f>
        <v>268</v>
      </c>
      <c r="L17" s="8">
        <f>88+53+63+81</f>
        <v>285</v>
      </c>
      <c r="M17" s="8">
        <f>93+75+61+100</f>
        <v>329</v>
      </c>
      <c r="N17" s="8">
        <f>84+64+83+96</f>
        <v>327</v>
      </c>
      <c r="O17" s="8">
        <f>106+92+68+65</f>
        <v>331</v>
      </c>
      <c r="P17" s="8">
        <f>92+77+86+103</f>
        <v>358</v>
      </c>
      <c r="Q17" s="8">
        <f>119+77+72+74</f>
        <v>342</v>
      </c>
      <c r="R17" s="8">
        <f>58+41+52+45</f>
        <v>196</v>
      </c>
      <c r="S17" s="8">
        <f>46+47+21+48</f>
        <v>162</v>
      </c>
      <c r="T17" s="8">
        <f>47+27+43+43</f>
        <v>160</v>
      </c>
      <c r="U17" s="8">
        <f>32+47+24+48</f>
        <v>151</v>
      </c>
      <c r="V17" s="8">
        <f>51+11+54+29</f>
        <v>145</v>
      </c>
      <c r="W17" s="8">
        <f>29+25+19+50</f>
        <v>123</v>
      </c>
      <c r="X17" s="8">
        <f>30+18+25+37</f>
        <v>110</v>
      </c>
      <c r="Y17" s="8">
        <f>37+36+20+29</f>
        <v>122</v>
      </c>
      <c r="Z17" s="8">
        <f>42+28+32+42</f>
        <v>144</v>
      </c>
      <c r="AA17" s="8">
        <f>41+24+24+37</f>
        <v>126</v>
      </c>
      <c r="AB17" s="8">
        <f>18+14+45+26</f>
        <v>103</v>
      </c>
      <c r="AC17" s="8">
        <f>28+39+8+26</f>
        <v>101</v>
      </c>
      <c r="AD17" s="8">
        <f>68+64+43+84</f>
        <v>259</v>
      </c>
      <c r="AE17" s="16">
        <f>88+59+63+65</f>
        <v>275</v>
      </c>
      <c r="AF17" s="21">
        <f t="shared" si="0"/>
        <v>6052</v>
      </c>
    </row>
    <row r="18" spans="1:32" ht="16.5" thickTop="1" thickBot="1" x14ac:dyDescent="0.4">
      <c r="A18" s="12">
        <v>4</v>
      </c>
      <c r="B18" s="13" t="s">
        <v>52</v>
      </c>
      <c r="C18" s="17">
        <v>3322</v>
      </c>
      <c r="D18" s="17">
        <v>7009</v>
      </c>
      <c r="E18" s="17">
        <v>6646</v>
      </c>
      <c r="F18" s="17">
        <v>714</v>
      </c>
      <c r="G18" s="17">
        <v>686</v>
      </c>
      <c r="H18" s="17">
        <v>734</v>
      </c>
      <c r="I18" s="17">
        <v>768</v>
      </c>
      <c r="J18" s="17">
        <v>886</v>
      </c>
      <c r="K18" s="17">
        <v>705</v>
      </c>
      <c r="L18" s="17">
        <v>699</v>
      </c>
      <c r="M18" s="17">
        <v>634</v>
      </c>
      <c r="N18" s="17">
        <v>736</v>
      </c>
      <c r="O18" s="17">
        <v>714</v>
      </c>
      <c r="P18" s="17">
        <v>666</v>
      </c>
      <c r="Q18" s="17">
        <v>581</v>
      </c>
      <c r="R18" s="17">
        <v>566</v>
      </c>
      <c r="S18" s="17">
        <v>554</v>
      </c>
      <c r="T18" s="17">
        <v>429</v>
      </c>
      <c r="U18" s="17">
        <v>438</v>
      </c>
      <c r="V18" s="17">
        <v>349</v>
      </c>
      <c r="W18" s="17">
        <v>363</v>
      </c>
      <c r="X18" s="17">
        <v>268</v>
      </c>
      <c r="Y18" s="17">
        <v>270</v>
      </c>
      <c r="Z18" s="17">
        <v>284</v>
      </c>
      <c r="AA18" s="17">
        <v>232</v>
      </c>
      <c r="AB18" s="17">
        <v>217</v>
      </c>
      <c r="AC18" s="17">
        <v>199</v>
      </c>
      <c r="AD18" s="17">
        <v>461</v>
      </c>
      <c r="AE18" s="18">
        <v>502</v>
      </c>
      <c r="AF18" s="21">
        <f t="shared" si="0"/>
        <v>13655</v>
      </c>
    </row>
    <row r="19" spans="1:32" ht="16.5" thickTop="1" thickBot="1" x14ac:dyDescent="0.4">
      <c r="A19" s="12">
        <v>5</v>
      </c>
      <c r="B19" s="13" t="s">
        <v>53</v>
      </c>
      <c r="C19" s="19">
        <v>6977</v>
      </c>
      <c r="D19" s="17">
        <v>14054</v>
      </c>
      <c r="E19" s="17">
        <v>13573</v>
      </c>
      <c r="F19" s="17">
        <v>1550</v>
      </c>
      <c r="G19" s="17">
        <v>1472</v>
      </c>
      <c r="H19" s="17">
        <v>1535</v>
      </c>
      <c r="I19" s="17">
        <v>1521</v>
      </c>
      <c r="J19" s="17">
        <v>1501</v>
      </c>
      <c r="K19" s="17">
        <v>1362</v>
      </c>
      <c r="L19" s="17">
        <v>1406</v>
      </c>
      <c r="M19" s="17">
        <v>1384</v>
      </c>
      <c r="N19" s="17">
        <v>1545</v>
      </c>
      <c r="O19" s="17">
        <v>1524</v>
      </c>
      <c r="P19" s="17">
        <v>1482</v>
      </c>
      <c r="Q19" s="17">
        <v>1305</v>
      </c>
      <c r="R19" s="17">
        <v>1021</v>
      </c>
      <c r="S19" s="17">
        <v>987</v>
      </c>
      <c r="T19" s="17">
        <v>809</v>
      </c>
      <c r="U19" s="17">
        <v>787</v>
      </c>
      <c r="V19" s="17">
        <v>657</v>
      </c>
      <c r="W19" s="17">
        <v>646</v>
      </c>
      <c r="X19" s="17">
        <v>521</v>
      </c>
      <c r="Y19" s="17">
        <v>534</v>
      </c>
      <c r="Z19" s="17">
        <v>569</v>
      </c>
      <c r="AA19" s="17">
        <v>475</v>
      </c>
      <c r="AB19" s="17">
        <v>389</v>
      </c>
      <c r="AC19" s="17">
        <v>374</v>
      </c>
      <c r="AD19" s="17">
        <v>1069</v>
      </c>
      <c r="AE19" s="18">
        <v>1202</v>
      </c>
      <c r="AF19" s="22">
        <f t="shared" si="0"/>
        <v>27627</v>
      </c>
    </row>
    <row r="20" spans="1:32" ht="16.5" thickTop="1" thickBot="1" x14ac:dyDescent="0.4">
      <c r="A20" s="8">
        <v>6</v>
      </c>
      <c r="B20" s="15" t="s">
        <v>54</v>
      </c>
      <c r="C20" s="8">
        <v>2880</v>
      </c>
      <c r="D20" s="8">
        <v>6088</v>
      </c>
      <c r="E20" s="8">
        <v>6607</v>
      </c>
      <c r="F20" s="8">
        <v>734</v>
      </c>
      <c r="G20" s="8">
        <v>699</v>
      </c>
      <c r="H20" s="8">
        <v>737</v>
      </c>
      <c r="I20" s="8">
        <v>1494</v>
      </c>
      <c r="J20" s="8">
        <v>611</v>
      </c>
      <c r="K20" s="8">
        <v>598</v>
      </c>
      <c r="L20" s="8">
        <v>643</v>
      </c>
      <c r="M20" s="8">
        <v>639</v>
      </c>
      <c r="N20" s="8">
        <v>619</v>
      </c>
      <c r="O20" s="8">
        <v>602</v>
      </c>
      <c r="P20" s="8">
        <v>550</v>
      </c>
      <c r="Q20" s="8">
        <v>521</v>
      </c>
      <c r="R20" s="8">
        <v>417</v>
      </c>
      <c r="S20" s="8">
        <v>391</v>
      </c>
      <c r="T20" s="8">
        <v>408</v>
      </c>
      <c r="U20" s="8">
        <v>338</v>
      </c>
      <c r="V20" s="8">
        <v>260</v>
      </c>
      <c r="W20" s="8">
        <v>261</v>
      </c>
      <c r="X20" s="8">
        <v>245</v>
      </c>
      <c r="Y20" s="8">
        <v>228</v>
      </c>
      <c r="Z20" s="8">
        <v>271</v>
      </c>
      <c r="AA20" s="8">
        <v>243</v>
      </c>
      <c r="AB20" s="8">
        <v>204</v>
      </c>
      <c r="AC20" s="8">
        <v>188</v>
      </c>
      <c r="AD20" s="8">
        <v>389</v>
      </c>
      <c r="AE20" s="16">
        <v>405</v>
      </c>
      <c r="AF20" s="21">
        <f t="shared" si="0"/>
        <v>12695</v>
      </c>
    </row>
    <row r="21" spans="1:32" ht="16.5" thickTop="1" thickBot="1" x14ac:dyDescent="0.4">
      <c r="A21" s="12">
        <v>7</v>
      </c>
      <c r="B21" s="13" t="s">
        <v>55</v>
      </c>
      <c r="C21" s="12">
        <v>4640</v>
      </c>
      <c r="D21" s="12">
        <v>10284</v>
      </c>
      <c r="E21" s="12">
        <v>10357</v>
      </c>
      <c r="F21" s="12">
        <v>1235</v>
      </c>
      <c r="G21" s="12">
        <v>1201</v>
      </c>
      <c r="H21" s="12">
        <v>1133</v>
      </c>
      <c r="I21" s="12">
        <v>1087</v>
      </c>
      <c r="J21" s="12">
        <v>1036</v>
      </c>
      <c r="K21" s="12">
        <v>1019</v>
      </c>
      <c r="L21" s="12">
        <v>922</v>
      </c>
      <c r="M21" s="12">
        <v>1006</v>
      </c>
      <c r="N21" s="12">
        <v>993</v>
      </c>
      <c r="O21" s="12">
        <v>1020</v>
      </c>
      <c r="P21" s="12">
        <v>919</v>
      </c>
      <c r="Q21" s="12">
        <v>928</v>
      </c>
      <c r="R21" s="12">
        <v>755</v>
      </c>
      <c r="S21" s="12">
        <v>746</v>
      </c>
      <c r="T21" s="12">
        <v>668</v>
      </c>
      <c r="U21" s="12">
        <v>656</v>
      </c>
      <c r="V21" s="12">
        <v>594</v>
      </c>
      <c r="W21" s="12">
        <v>584</v>
      </c>
      <c r="X21" s="12">
        <v>475</v>
      </c>
      <c r="Y21" s="12">
        <v>486</v>
      </c>
      <c r="Z21" s="12">
        <v>419</v>
      </c>
      <c r="AA21" s="12">
        <v>446</v>
      </c>
      <c r="AB21" s="12">
        <v>444</v>
      </c>
      <c r="AC21" s="12">
        <v>430</v>
      </c>
      <c r="AD21" s="12">
        <v>691</v>
      </c>
      <c r="AE21" s="14">
        <v>748</v>
      </c>
      <c r="AF21" s="21">
        <f t="shared" si="0"/>
        <v>20641</v>
      </c>
    </row>
    <row r="22" spans="1:32" ht="16.5" thickTop="1" thickBot="1" x14ac:dyDescent="0.4">
      <c r="A22" s="32" t="s">
        <v>56</v>
      </c>
      <c r="B22" s="32"/>
      <c r="C22" s="26">
        <f>SUM(C15:C21)</f>
        <v>21522</v>
      </c>
      <c r="D22" s="8">
        <f>SUM(D15:D21)</f>
        <v>44489</v>
      </c>
      <c r="E22" s="8">
        <f>SUM(E15:E21)</f>
        <v>44109</v>
      </c>
      <c r="F22" s="8">
        <f t="shared" ref="F22:AE22" si="1">SUM(F15:F21)</f>
        <v>5074</v>
      </c>
      <c r="G22" s="8">
        <f t="shared" si="1"/>
        <v>4836</v>
      </c>
      <c r="H22" s="8">
        <f t="shared" si="1"/>
        <v>4950</v>
      </c>
      <c r="I22" s="8">
        <f t="shared" si="1"/>
        <v>5627</v>
      </c>
      <c r="J22" s="8">
        <f t="shared" si="1"/>
        <v>4643</v>
      </c>
      <c r="K22" s="8">
        <f t="shared" si="1"/>
        <v>4354</v>
      </c>
      <c r="L22" s="8">
        <f t="shared" si="1"/>
        <v>4389</v>
      </c>
      <c r="M22" s="8">
        <f t="shared" si="1"/>
        <v>4423</v>
      </c>
      <c r="N22" s="8">
        <f t="shared" si="1"/>
        <v>4700</v>
      </c>
      <c r="O22" s="8">
        <f t="shared" si="1"/>
        <v>4647</v>
      </c>
      <c r="P22" s="8">
        <f t="shared" si="1"/>
        <v>4426</v>
      </c>
      <c r="Q22" s="8">
        <f t="shared" si="1"/>
        <v>4059</v>
      </c>
      <c r="R22" s="8">
        <f t="shared" si="1"/>
        <v>3223</v>
      </c>
      <c r="S22" s="8">
        <f t="shared" si="1"/>
        <v>3112</v>
      </c>
      <c r="T22" s="8">
        <f t="shared" si="1"/>
        <v>2702</v>
      </c>
      <c r="U22" s="8">
        <f t="shared" si="1"/>
        <v>2571</v>
      </c>
      <c r="V22" s="8">
        <f t="shared" si="1"/>
        <v>2160</v>
      </c>
      <c r="W22" s="8">
        <f t="shared" si="1"/>
        <v>2132</v>
      </c>
      <c r="X22" s="8">
        <f t="shared" si="1"/>
        <v>1758</v>
      </c>
      <c r="Y22" s="8">
        <f t="shared" si="1"/>
        <v>1786</v>
      </c>
      <c r="Z22" s="8">
        <f t="shared" si="1"/>
        <v>1825</v>
      </c>
      <c r="AA22" s="8">
        <f t="shared" si="1"/>
        <v>1640</v>
      </c>
      <c r="AB22" s="8">
        <f t="shared" si="1"/>
        <v>1426</v>
      </c>
      <c r="AC22" s="8">
        <f t="shared" si="1"/>
        <v>1364</v>
      </c>
      <c r="AD22" s="8">
        <f t="shared" si="1"/>
        <v>3213</v>
      </c>
      <c r="AE22" s="16">
        <f t="shared" si="1"/>
        <v>3558</v>
      </c>
      <c r="AF22" s="32">
        <f>SUM(AF15:AF21)</f>
        <v>88598</v>
      </c>
    </row>
    <row r="23" spans="1:32" ht="16.5" thickTop="1" thickBot="1" x14ac:dyDescent="0.4">
      <c r="A23" s="32"/>
      <c r="B23" s="32"/>
      <c r="C23" s="27"/>
      <c r="D23" s="33">
        <f>D22+E22</f>
        <v>88598</v>
      </c>
      <c r="E23" s="33"/>
      <c r="F23" s="15">
        <f>SUM(F22:AE22)</f>
        <v>88598</v>
      </c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23"/>
      <c r="AF23" s="39"/>
    </row>
    <row r="24" spans="1:32" ht="15" thickTop="1" x14ac:dyDescent="0.35"/>
    <row r="26" spans="1:32" x14ac:dyDescent="0.35">
      <c r="A26" s="37" t="s">
        <v>64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</row>
    <row r="27" spans="1:32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</row>
    <row r="28" spans="1:32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 x14ac:dyDescent="0.35">
      <c r="A30" s="38" t="s">
        <v>65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</row>
    <row r="31" spans="1:32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37" t="s">
        <v>66</v>
      </c>
      <c r="M31" s="37"/>
      <c r="N31" s="37"/>
      <c r="O31" s="37"/>
      <c r="P31" s="37"/>
      <c r="Q31" s="37"/>
      <c r="R31" s="37"/>
      <c r="S31" s="37"/>
      <c r="T31" s="3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</row>
  </sheetData>
  <mergeCells count="30">
    <mergeCell ref="A7:AF7"/>
    <mergeCell ref="A8:AF8"/>
    <mergeCell ref="A9:AF9"/>
    <mergeCell ref="Z13:AA13"/>
    <mergeCell ref="AB13:AC13"/>
    <mergeCell ref="AD13:AE13"/>
    <mergeCell ref="N13:O13"/>
    <mergeCell ref="P13:Q13"/>
    <mergeCell ref="R13:S13"/>
    <mergeCell ref="T13:U13"/>
    <mergeCell ref="V13:W13"/>
    <mergeCell ref="X13:Y13"/>
    <mergeCell ref="A12:A14"/>
    <mergeCell ref="B12:B14"/>
    <mergeCell ref="C12:C14"/>
    <mergeCell ref="D12:E12"/>
    <mergeCell ref="A26:AF26"/>
    <mergeCell ref="A30:AF30"/>
    <mergeCell ref="L31:T31"/>
    <mergeCell ref="AF22:AF23"/>
    <mergeCell ref="AF12:AF14"/>
    <mergeCell ref="A22:B23"/>
    <mergeCell ref="C22:C23"/>
    <mergeCell ref="D23:E23"/>
    <mergeCell ref="F12:AE12"/>
    <mergeCell ref="D13:E13"/>
    <mergeCell ref="F13:G13"/>
    <mergeCell ref="H13:I13"/>
    <mergeCell ref="J13:K13"/>
    <mergeCell ref="L13:M13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9C853-C684-41EF-B743-30A8CC561F3A}">
  <dimension ref="A1"/>
  <sheetViews>
    <sheetView tabSelected="1"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DEMOGRAFIA </vt:lpstr>
      <vt:lpstr>MONOGRAFIA</vt:lpstr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2025-06-04T19:36:31Z</dcterms:modified>
</cp:coreProperties>
</file>